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02.01.21 " sheetId="1" r:id="rId1"/>
  </sheets>
  <definedNames>
    <definedName name="_xlnm.Print_Area" localSheetId="0">'02.01.21 '!$A$1:$V$62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1"/>
  <c r="L25"/>
  <c r="D24"/>
  <c r="E24" s="1"/>
  <c r="P24" s="1"/>
  <c r="L23"/>
  <c r="E21"/>
  <c r="L30"/>
  <c r="L28"/>
  <c r="L37"/>
  <c r="L32"/>
  <c r="T58" l="1"/>
  <c r="P58"/>
  <c r="I58"/>
  <c r="H58"/>
  <c r="G58"/>
  <c r="C58"/>
  <c r="E57"/>
  <c r="E55"/>
  <c r="O56" s="1"/>
  <c r="E54"/>
  <c r="R54" s="1"/>
  <c r="E53"/>
  <c r="M52"/>
  <c r="M58" s="1"/>
  <c r="E52"/>
  <c r="E51"/>
  <c r="E50"/>
  <c r="F49"/>
  <c r="E49"/>
  <c r="E48"/>
  <c r="O48" s="1"/>
  <c r="E47"/>
  <c r="E46"/>
  <c r="E45"/>
  <c r="R45" s="1"/>
  <c r="E44"/>
  <c r="R44" s="1"/>
  <c r="O43"/>
  <c r="E43"/>
  <c r="E42"/>
  <c r="O42" s="1"/>
  <c r="J41"/>
  <c r="E41"/>
  <c r="R40"/>
  <c r="O40"/>
  <c r="N40"/>
  <c r="M40"/>
  <c r="I40"/>
  <c r="I59" s="1"/>
  <c r="H40"/>
  <c r="G40"/>
  <c r="E39"/>
  <c r="Q38"/>
  <c r="P38"/>
  <c r="L38"/>
  <c r="E37"/>
  <c r="P36"/>
  <c r="L36"/>
  <c r="L35"/>
  <c r="E34"/>
  <c r="P34" s="1"/>
  <c r="E32"/>
  <c r="E31"/>
  <c r="P31" s="1"/>
  <c r="E30"/>
  <c r="F30" s="1"/>
  <c r="P29"/>
  <c r="L29"/>
  <c r="F29"/>
  <c r="E26"/>
  <c r="C26"/>
  <c r="D26" s="1"/>
  <c r="P21"/>
  <c r="S21" s="1"/>
  <c r="V21" s="1"/>
  <c r="D21"/>
  <c r="D40" s="1"/>
  <c r="E20"/>
  <c r="E18"/>
  <c r="C40" l="1"/>
  <c r="C59" s="1"/>
  <c r="R41"/>
  <c r="G59"/>
  <c r="P20"/>
  <c r="F20"/>
  <c r="J20" s="1"/>
  <c r="F18"/>
  <c r="P18" s="1"/>
  <c r="E40"/>
  <c r="S36"/>
  <c r="V36" s="1"/>
  <c r="S29"/>
  <c r="V29" s="1"/>
  <c r="S38"/>
  <c r="V38" s="1"/>
  <c r="P30"/>
  <c r="S30" s="1"/>
  <c r="V30" s="1"/>
  <c r="R51"/>
  <c r="R48"/>
  <c r="S48" s="1"/>
  <c r="V48" s="1"/>
  <c r="R49"/>
  <c r="Q50"/>
  <c r="Q58" s="1"/>
  <c r="O51"/>
  <c r="S51" s="1"/>
  <c r="V51" s="1"/>
  <c r="L55"/>
  <c r="L58" s="1"/>
  <c r="R42"/>
  <c r="R46"/>
  <c r="R47"/>
  <c r="S47" s="1"/>
  <c r="V47" s="1"/>
  <c r="O46"/>
  <c r="S46" s="1"/>
  <c r="V46" s="1"/>
  <c r="O47"/>
  <c r="R52"/>
  <c r="R43"/>
  <c r="R53"/>
  <c r="S53" s="1"/>
  <c r="V53" s="1"/>
  <c r="P26"/>
  <c r="Q39"/>
  <c r="L39"/>
  <c r="M59"/>
  <c r="L57"/>
  <c r="R57" s="1"/>
  <c r="S57" s="1"/>
  <c r="V57" s="1"/>
  <c r="F58"/>
  <c r="J58"/>
  <c r="S24"/>
  <c r="Q26"/>
  <c r="L34"/>
  <c r="S34" s="1"/>
  <c r="V34" s="1"/>
  <c r="P37"/>
  <c r="S37" s="1"/>
  <c r="V37" s="1"/>
  <c r="P39"/>
  <c r="H59"/>
  <c r="E58"/>
  <c r="S42"/>
  <c r="V42" s="1"/>
  <c r="S44"/>
  <c r="V44" s="1"/>
  <c r="S45"/>
  <c r="V45" s="1"/>
  <c r="O50"/>
  <c r="S54"/>
  <c r="V54" s="1"/>
  <c r="S31"/>
  <c r="V31" s="1"/>
  <c r="P32"/>
  <c r="S32" s="1"/>
  <c r="V32" s="1"/>
  <c r="S43"/>
  <c r="V43" s="1"/>
  <c r="O49"/>
  <c r="S52"/>
  <c r="V52" s="1"/>
  <c r="O55"/>
  <c r="S55" l="1"/>
  <c r="V55" s="1"/>
  <c r="S26"/>
  <c r="V27" s="1"/>
  <c r="J18"/>
  <c r="F40"/>
  <c r="L18"/>
  <c r="V24"/>
  <c r="V25"/>
  <c r="E59"/>
  <c r="S39"/>
  <c r="V39" s="1"/>
  <c r="Q40"/>
  <c r="Q59" s="1"/>
  <c r="U40"/>
  <c r="O58"/>
  <c r="O59" s="1"/>
  <c r="F59"/>
  <c r="R50"/>
  <c r="R58" s="1"/>
  <c r="R59" s="1"/>
  <c r="U58"/>
  <c r="P40"/>
  <c r="P59" s="1"/>
  <c r="S49"/>
  <c r="V49" s="1"/>
  <c r="L20"/>
  <c r="S20" s="1"/>
  <c r="V20" s="1"/>
  <c r="T40"/>
  <c r="T59" s="1"/>
  <c r="S41"/>
  <c r="V41" s="1"/>
  <c r="S18" l="1"/>
  <c r="V18" s="1"/>
  <c r="V28"/>
  <c r="L40"/>
  <c r="L59" s="1"/>
  <c r="V40"/>
  <c r="S40"/>
  <c r="U59"/>
  <c r="S50"/>
  <c r="V50" s="1"/>
  <c r="V58"/>
  <c r="J40"/>
  <c r="J59" s="1"/>
  <c r="W40" l="1"/>
  <c r="Y40" s="1"/>
  <c r="W36"/>
  <c r="X36" s="1"/>
  <c r="V59"/>
  <c r="S58"/>
  <c r="S59" l="1"/>
  <c r="W58"/>
  <c r="W59"/>
</calcChain>
</file>

<file path=xl/sharedStrings.xml><?xml version="1.0" encoding="utf-8"?>
<sst xmlns="http://schemas.openxmlformats.org/spreadsheetml/2006/main" count="66" uniqueCount="65">
  <si>
    <t xml:space="preserve">                                                                                                                       Штатний розпис</t>
  </si>
  <si>
    <t>ШТАТНИЙ РОЗПИС</t>
  </si>
  <si>
    <t>№</t>
  </si>
  <si>
    <t>Кількість штатних одиниць</t>
  </si>
  <si>
    <t>Посадовий оклад грн.</t>
  </si>
  <si>
    <t>Оклад за кількістю штатних одиниць</t>
  </si>
  <si>
    <t>Підвищення</t>
  </si>
  <si>
    <t>Надбавка</t>
  </si>
  <si>
    <t>Доплата</t>
  </si>
  <si>
    <t>Інклюзивна доплата 20%</t>
  </si>
  <si>
    <t>Доплата до МЗП</t>
  </si>
  <si>
    <t>Фонд заробітної плати на місяць</t>
  </si>
  <si>
    <t>Щорічна грошова винагорода</t>
  </si>
  <si>
    <t xml:space="preserve">Допомога на оздоровлення </t>
  </si>
  <si>
    <t>Річний фонд зарплати</t>
  </si>
  <si>
    <t>За роботу в логопед, груп.20%</t>
  </si>
  <si>
    <t>За звання  10% -15%від посад.окладу</t>
  </si>
  <si>
    <t xml:space="preserve">За кіль-кість   дітей </t>
  </si>
  <si>
    <t>Метод об"една-ння 15%</t>
  </si>
  <si>
    <t>За складн. напруж. у роботі Рішення сесії 30%, 25%</t>
  </si>
  <si>
    <t>Вислуга років</t>
  </si>
  <si>
    <t>За роботу в нічний час 40 %</t>
  </si>
  <si>
    <t>За несприятливі умови праці , старшинство</t>
  </si>
  <si>
    <t>%</t>
  </si>
  <si>
    <t>сума</t>
  </si>
  <si>
    <t>Сума</t>
  </si>
  <si>
    <t>Завідувач</t>
  </si>
  <si>
    <t>Вихователь-методист</t>
  </si>
  <si>
    <t>Вихователь - яслі</t>
  </si>
  <si>
    <t>Вихователь – сад</t>
  </si>
  <si>
    <t>Вихов. інклюз. групи</t>
  </si>
  <si>
    <t>Вчитель-логопед</t>
  </si>
  <si>
    <t>Вихователь логопед. групи</t>
  </si>
  <si>
    <t>Практичний психолог</t>
  </si>
  <si>
    <t>Музичний керівник</t>
  </si>
  <si>
    <t>Інструктор з фізкультури</t>
  </si>
  <si>
    <t>Соціальний педагог</t>
  </si>
  <si>
    <t>Керівник гуртка</t>
  </si>
  <si>
    <t>Вчитель-дефектолог</t>
  </si>
  <si>
    <t>Асистент вихователя</t>
  </si>
  <si>
    <t>Всього педзарплата</t>
  </si>
  <si>
    <t>Завідувач господарством</t>
  </si>
  <si>
    <t>Кухар</t>
  </si>
  <si>
    <t>Підсобний робітник</t>
  </si>
  <si>
    <t>Робітник з комплексного обслуговування</t>
  </si>
  <si>
    <t>Кастелянка</t>
  </si>
  <si>
    <t>Машиніст із прання та ремонту білизни</t>
  </si>
  <si>
    <t>Прибиральник службових приміщень</t>
  </si>
  <si>
    <t xml:space="preserve">Помічник вихователя </t>
  </si>
  <si>
    <t>Помічник виховат.  лог. Гр.</t>
  </si>
  <si>
    <t>Помічник вихователя інклюзивної групи</t>
  </si>
  <si>
    <t>Помічник вих. дітей  до 3-х р</t>
  </si>
  <si>
    <t>Сторож</t>
  </si>
  <si>
    <t>Опалювачі</t>
  </si>
  <si>
    <t>Двірник</t>
  </si>
  <si>
    <t>Сестра медична старша</t>
  </si>
  <si>
    <t>Сестра медична з дієтхарчування</t>
  </si>
  <si>
    <t>Всього МОП</t>
  </si>
  <si>
    <t>ВСЬОГО</t>
  </si>
  <si>
    <t>Головний бухгалтер</t>
  </si>
  <si>
    <t>Н.Л. Бутенко</t>
  </si>
  <si>
    <t>Доплата згідно Постанови №373 (20%)</t>
  </si>
  <si>
    <t xml:space="preserve">ДНЗ №9 "Ласточка" </t>
  </si>
  <si>
    <t>Додаток 9 до рішення Бучанської міської ради</t>
  </si>
  <si>
    <t>від «02»  грудня 2020 року № 44- 2-VIIІ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</si>
</sst>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1" applyFont="1"/>
    <xf numFmtId="0" fontId="2" fillId="0" borderId="0" xfId="1" applyFont="1" applyFill="1"/>
    <xf numFmtId="0" fontId="4" fillId="0" borderId="0" xfId="1" applyFont="1" applyFill="1"/>
    <xf numFmtId="4" fontId="4" fillId="0" borderId="0" xfId="1" applyNumberFormat="1" applyFont="1" applyFill="1"/>
    <xf numFmtId="0" fontId="5" fillId="2" borderId="0" xfId="1" applyFont="1" applyFill="1"/>
    <xf numFmtId="2" fontId="2" fillId="0" borderId="0" xfId="1" applyNumberFormat="1" applyFont="1" applyFill="1"/>
    <xf numFmtId="0" fontId="4" fillId="0" borderId="0" xfId="1" applyFont="1" applyFill="1" applyAlignment="1"/>
    <xf numFmtId="4" fontId="3" fillId="0" borderId="0" xfId="1" applyNumberFormat="1" applyFont="1" applyFill="1" applyAlignment="1">
      <alignment horizontal="left"/>
    </xf>
    <xf numFmtId="0" fontId="2" fillId="0" borderId="0" xfId="1" applyFont="1" applyAlignment="1"/>
    <xf numFmtId="0" fontId="2" fillId="0" borderId="0" xfId="1" applyFont="1" applyFill="1" applyAlignment="1"/>
    <xf numFmtId="2" fontId="2" fillId="0" borderId="0" xfId="1" applyNumberFormat="1" applyFont="1" applyFill="1" applyAlignment="1"/>
    <xf numFmtId="4" fontId="2" fillId="0" borderId="0" xfId="1" applyNumberFormat="1" applyFont="1" applyFill="1" applyAlignment="1"/>
    <xf numFmtId="0" fontId="4" fillId="0" borderId="0" xfId="1" applyFont="1" applyFill="1" applyAlignment="1">
      <alignment horizontal="left"/>
    </xf>
    <xf numFmtId="0" fontId="6" fillId="0" borderId="0" xfId="1" applyFont="1" applyAlignment="1"/>
    <xf numFmtId="0" fontId="6" fillId="0" borderId="0" xfId="1" applyFont="1" applyFill="1" applyAlignment="1"/>
    <xf numFmtId="2" fontId="6" fillId="0" borderId="0" xfId="1" applyNumberFormat="1" applyFont="1" applyFill="1" applyAlignment="1"/>
    <xf numFmtId="0" fontId="3" fillId="0" borderId="0" xfId="1" applyFont="1" applyFill="1" applyAlignment="1">
      <alignment horizontal="left"/>
    </xf>
    <xf numFmtId="0" fontId="7" fillId="0" borderId="0" xfId="1" applyFont="1" applyAlignment="1">
      <alignment horizontal="left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/>
    <xf numFmtId="4" fontId="3" fillId="0" borderId="0" xfId="1" applyNumberFormat="1" applyFont="1" applyFill="1" applyAlignment="1">
      <alignment horizontal="left" vertical="center"/>
    </xf>
    <xf numFmtId="2" fontId="2" fillId="3" borderId="0" xfId="1" applyNumberFormat="1" applyFont="1" applyFill="1"/>
    <xf numFmtId="0" fontId="2" fillId="3" borderId="0" xfId="1" applyFont="1" applyFill="1"/>
    <xf numFmtId="0" fontId="4" fillId="0" borderId="0" xfId="1" applyFont="1"/>
    <xf numFmtId="0" fontId="8" fillId="0" borderId="0" xfId="1" applyFont="1"/>
    <xf numFmtId="0" fontId="2" fillId="0" borderId="0" xfId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0" fontId="8" fillId="3" borderId="0" xfId="1" applyFont="1" applyFill="1"/>
    <xf numFmtId="0" fontId="2" fillId="0" borderId="12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1" fontId="2" fillId="0" borderId="12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center" wrapText="1"/>
    </xf>
    <xf numFmtId="0" fontId="2" fillId="2" borderId="12" xfId="2" applyNumberFormat="1" applyFon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4" fontId="2" fillId="2" borderId="12" xfId="2" applyNumberFormat="1" applyFont="1" applyFill="1" applyBorder="1" applyAlignment="1">
      <alignment horizontal="center" vertical="center" wrapText="1"/>
    </xf>
    <xf numFmtId="0" fontId="1" fillId="0" borderId="0" xfId="1" applyFont="1"/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vertical="center" wrapText="1"/>
    </xf>
    <xf numFmtId="0" fontId="2" fillId="3" borderId="12" xfId="1" applyFont="1" applyFill="1" applyBorder="1" applyAlignment="1">
      <alignment horizontal="center" vertical="center"/>
    </xf>
    <xf numFmtId="4" fontId="2" fillId="2" borderId="12" xfId="1" applyNumberFormat="1" applyFont="1" applyFill="1" applyBorder="1" applyAlignment="1">
      <alignment horizontal="center" vertical="top" wrapText="1"/>
    </xf>
    <xf numFmtId="4" fontId="2" fillId="2" borderId="11" xfId="1" applyNumberFormat="1" applyFont="1" applyFill="1" applyBorder="1" applyAlignment="1">
      <alignment horizontal="center" vertical="top" wrapText="1"/>
    </xf>
    <xf numFmtId="4" fontId="2" fillId="2" borderId="11" xfId="2" applyNumberFormat="1" applyFont="1" applyFill="1" applyBorder="1" applyAlignment="1">
      <alignment horizontal="center" vertical="center" wrapText="1"/>
    </xf>
    <xf numFmtId="0" fontId="2" fillId="0" borderId="12" xfId="1" applyFont="1" applyFill="1" applyBorder="1"/>
    <xf numFmtId="0" fontId="3" fillId="2" borderId="12" xfId="1" applyFont="1" applyFill="1" applyBorder="1" applyAlignment="1">
      <alignment horizontal="left" vertical="center" wrapText="1"/>
    </xf>
    <xf numFmtId="2" fontId="8" fillId="2" borderId="11" xfId="2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left" vertical="center" wrapText="1"/>
    </xf>
    <xf numFmtId="4" fontId="2" fillId="0" borderId="12" xfId="1" applyNumberFormat="1" applyFont="1" applyFill="1" applyBorder="1" applyAlignment="1">
      <alignment horizontal="center" vertical="top" wrapText="1"/>
    </xf>
    <xf numFmtId="3" fontId="2" fillId="2" borderId="12" xfId="1" applyNumberFormat="1" applyFont="1" applyFill="1" applyBorder="1" applyAlignment="1">
      <alignment horizontal="center" vertical="top" wrapText="1"/>
    </xf>
    <xf numFmtId="4" fontId="2" fillId="2" borderId="12" xfId="1" applyNumberFormat="1" applyFont="1" applyFill="1" applyBorder="1"/>
    <xf numFmtId="0" fontId="2" fillId="0" borderId="12" xfId="2" applyNumberFormat="1" applyFont="1" applyFill="1" applyBorder="1" applyAlignment="1">
      <alignment horizontal="center" vertical="center" wrapText="1"/>
    </xf>
    <xf numFmtId="2" fontId="2" fillId="0" borderId="12" xfId="2" applyNumberFormat="1" applyFont="1" applyFill="1" applyBorder="1" applyAlignment="1">
      <alignment horizontal="center" vertical="center" wrapText="1"/>
    </xf>
    <xf numFmtId="3" fontId="2" fillId="0" borderId="12" xfId="1" applyNumberFormat="1" applyFont="1" applyFill="1" applyBorder="1" applyAlignment="1">
      <alignment horizontal="center" vertical="top" wrapText="1"/>
    </xf>
    <xf numFmtId="0" fontId="4" fillId="0" borderId="12" xfId="1" applyFont="1" applyFill="1" applyBorder="1" applyAlignment="1">
      <alignment wrapText="1"/>
    </xf>
    <xf numFmtId="0" fontId="2" fillId="0" borderId="12" xfId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center" vertical="top" wrapText="1"/>
    </xf>
    <xf numFmtId="3" fontId="2" fillId="0" borderId="11" xfId="1" applyNumberFormat="1" applyFont="1" applyFill="1" applyBorder="1" applyAlignment="1">
      <alignment horizontal="center" vertical="top" wrapText="1"/>
    </xf>
    <xf numFmtId="4" fontId="2" fillId="0" borderId="11" xfId="2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/>
    <xf numFmtId="0" fontId="8" fillId="0" borderId="12" xfId="1" applyFont="1" applyFill="1" applyBorder="1"/>
    <xf numFmtId="0" fontId="3" fillId="0" borderId="12" xfId="1" applyFont="1" applyFill="1" applyBorder="1" applyAlignment="1">
      <alignment horizontal="left" vertical="center" wrapText="1"/>
    </xf>
    <xf numFmtId="0" fontId="8" fillId="0" borderId="12" xfId="2" applyNumberFormat="1" applyFont="1" applyFill="1" applyBorder="1" applyAlignment="1">
      <alignment horizontal="center" vertical="center" wrapText="1"/>
    </xf>
    <xf numFmtId="4" fontId="8" fillId="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left" vertical="top" wrapText="1"/>
    </xf>
    <xf numFmtId="2" fontId="8" fillId="0" borderId="12" xfId="1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4" fontId="8" fillId="2" borderId="12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8" fillId="0" borderId="0" xfId="1" applyFont="1" applyFill="1" applyBorder="1" applyAlignment="1">
      <alignment horizontal="center" vertical="top" wrapText="1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2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1" xfId="1" applyFont="1" applyFill="1" applyBorder="1"/>
    <xf numFmtId="0" fontId="3" fillId="2" borderId="0" xfId="1" applyFont="1" applyFill="1"/>
    <xf numFmtId="0" fontId="3" fillId="0" borderId="0" xfId="1" applyFont="1"/>
    <xf numFmtId="0" fontId="3" fillId="0" borderId="1" xfId="1" applyFont="1" applyFill="1" applyBorder="1" applyAlignment="1">
      <alignment horizontal="left"/>
    </xf>
    <xf numFmtId="0" fontId="8" fillId="0" borderId="0" xfId="1" applyFont="1" applyFill="1" applyAlignment="1">
      <alignment horizontal="left"/>
    </xf>
    <xf numFmtId="0" fontId="8" fillId="0" borderId="0" xfId="1" applyFont="1" applyFill="1"/>
    <xf numFmtId="0" fontId="1" fillId="2" borderId="0" xfId="1" applyFont="1" applyFill="1"/>
    <xf numFmtId="0" fontId="1" fillId="0" borderId="0" xfId="1" applyFont="1" applyFill="1"/>
    <xf numFmtId="4" fontId="1" fillId="0" borderId="0" xfId="1" applyNumberFormat="1" applyFont="1" applyFill="1"/>
    <xf numFmtId="2" fontId="1" fillId="0" borderId="0" xfId="1" applyNumberFormat="1" applyFont="1" applyFill="1"/>
    <xf numFmtId="4" fontId="2" fillId="0" borderId="1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vertical="center" wrapText="1"/>
    </xf>
    <xf numFmtId="4" fontId="2" fillId="0" borderId="12" xfId="1" applyNumberFormat="1" applyFont="1" applyFill="1" applyBorder="1" applyAlignment="1">
      <alignment vertical="center" wrapText="1"/>
    </xf>
    <xf numFmtId="2" fontId="1" fillId="0" borderId="0" xfId="1" applyNumberFormat="1" applyFont="1"/>
    <xf numFmtId="2" fontId="2" fillId="2" borderId="11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2" borderId="12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4" fontId="2" fillId="0" borderId="11" xfId="2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11" xfId="2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2" borderId="12" xfId="2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4" fontId="2" fillId="2" borderId="6" xfId="2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11" xfId="2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2" fontId="2" fillId="2" borderId="6" xfId="2" applyNumberFormat="1" applyFont="1" applyFill="1" applyBorder="1" applyAlignment="1">
      <alignment horizontal="center" vertical="center" wrapText="1"/>
    </xf>
    <xf numFmtId="2" fontId="2" fillId="2" borderId="6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4" fontId="1" fillId="2" borderId="12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11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2" fillId="2" borderId="11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3">
    <cellStyle name="Обычный" xfId="0" builtinId="0"/>
    <cellStyle name="Обычный_ДНЗ №1 Сонячний 01.01.11" xfId="1"/>
    <cellStyle name="Финансовый_ДНЗ №1 Сонячний 01.01.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73"/>
  <sheetViews>
    <sheetView tabSelected="1" view="pageBreakPreview" zoomScale="80" zoomScaleSheetLayoutView="80" workbookViewId="0">
      <selection activeCell="R3" sqref="R3:V3"/>
    </sheetView>
  </sheetViews>
  <sheetFormatPr defaultRowHeight="12.75"/>
  <cols>
    <col min="1" max="1" width="3.7109375" style="51" customWidth="1"/>
    <col min="2" max="2" width="26" style="105" customWidth="1"/>
    <col min="3" max="3" width="8" style="105" customWidth="1"/>
    <col min="4" max="4" width="9.42578125" style="105" customWidth="1"/>
    <col min="5" max="5" width="11.28515625" style="105" customWidth="1"/>
    <col min="6" max="6" width="10.28515625" style="105" customWidth="1"/>
    <col min="7" max="7" width="10.7109375" style="105" customWidth="1"/>
    <col min="8" max="8" width="5.5703125" style="105" customWidth="1"/>
    <col min="9" max="9" width="8.7109375" style="105" customWidth="1"/>
    <col min="10" max="10" width="10.42578125" style="105" customWidth="1"/>
    <col min="11" max="11" width="4.5703125" style="105" customWidth="1"/>
    <col min="12" max="12" width="12.140625" style="105" customWidth="1"/>
    <col min="13" max="13" width="9.7109375" style="105" customWidth="1"/>
    <col min="14" max="14" width="4.5703125" style="105" customWidth="1"/>
    <col min="15" max="15" width="9" style="105" customWidth="1"/>
    <col min="16" max="17" width="10" style="105" customWidth="1"/>
    <col min="18" max="18" width="10.42578125" style="105" customWidth="1"/>
    <col min="19" max="19" width="11.5703125" style="105" customWidth="1"/>
    <col min="20" max="20" width="10.5703125" style="105" customWidth="1"/>
    <col min="21" max="21" width="13.85546875" style="105" customWidth="1"/>
    <col min="22" max="22" width="15.28515625" style="105" customWidth="1"/>
    <col min="23" max="23" width="10" style="51" bestFit="1" customWidth="1"/>
    <col min="24" max="24" width="11" style="51" bestFit="1" customWidth="1"/>
    <col min="25" max="16384" width="9.140625" style="51"/>
  </cols>
  <sheetData>
    <row r="2" spans="1:24" s="1" customFormat="1" ht="15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16" t="s">
        <v>63</v>
      </c>
      <c r="S2" s="116"/>
      <c r="T2" s="116"/>
      <c r="U2" s="116"/>
      <c r="V2" s="116"/>
    </row>
    <row r="3" spans="1:24" s="1" customFormat="1" ht="18.75">
      <c r="B3" s="5"/>
      <c r="C3" s="2"/>
      <c r="D3" s="2"/>
      <c r="E3" s="6"/>
      <c r="F3" s="2"/>
      <c r="G3" s="2"/>
      <c r="H3" s="2"/>
      <c r="I3" s="2"/>
      <c r="J3" s="2"/>
      <c r="K3" s="2"/>
      <c r="L3" s="6"/>
      <c r="M3" s="2"/>
      <c r="N3" s="2"/>
      <c r="O3" s="2"/>
      <c r="P3" s="2"/>
      <c r="Q3" s="2"/>
      <c r="R3" s="116" t="s">
        <v>64</v>
      </c>
      <c r="S3" s="116"/>
      <c r="T3" s="116"/>
      <c r="U3" s="116"/>
      <c r="V3" s="116"/>
    </row>
    <row r="4" spans="1:24" s="1" customFormat="1" ht="15">
      <c r="B4" s="2"/>
      <c r="C4" s="2"/>
      <c r="D4" s="2"/>
      <c r="E4" s="2"/>
      <c r="F4" s="2"/>
      <c r="G4" s="2"/>
      <c r="H4" s="2"/>
      <c r="I4" s="2"/>
      <c r="J4" s="2"/>
      <c r="K4" s="2"/>
      <c r="L4" s="6"/>
      <c r="M4" s="2"/>
      <c r="N4" s="2"/>
      <c r="O4" s="2"/>
      <c r="P4" s="2"/>
      <c r="Q4" s="2"/>
      <c r="R4" s="7"/>
      <c r="S4" s="7"/>
      <c r="T4" s="7"/>
      <c r="U4" s="8"/>
      <c r="V4" s="2"/>
    </row>
    <row r="5" spans="1:24" s="1" customFormat="1" ht="15">
      <c r="A5" s="9"/>
      <c r="B5" s="10"/>
      <c r="C5" s="10"/>
      <c r="D5" s="10"/>
      <c r="E5" s="10"/>
      <c r="F5" s="11"/>
      <c r="G5" s="10"/>
      <c r="H5" s="10"/>
      <c r="I5" s="10"/>
      <c r="J5" s="10"/>
      <c r="K5" s="10"/>
      <c r="L5" s="12"/>
      <c r="M5" s="11"/>
      <c r="N5" s="10"/>
      <c r="O5" s="10"/>
      <c r="P5" s="10"/>
      <c r="Q5" s="10"/>
      <c r="R5" s="13"/>
      <c r="S5" s="13"/>
      <c r="T5" s="13"/>
      <c r="U5" s="13"/>
      <c r="V5" s="2"/>
    </row>
    <row r="6" spans="1:24" s="1" customFormat="1" ht="15">
      <c r="A6" s="14"/>
      <c r="B6" s="15"/>
      <c r="C6" s="15"/>
      <c r="D6" s="15"/>
      <c r="E6" s="16"/>
      <c r="F6" s="1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7"/>
      <c r="S6" s="3"/>
      <c r="T6" s="3"/>
      <c r="U6" s="4"/>
      <c r="V6" s="2"/>
    </row>
    <row r="7" spans="1:24" s="28" customFormat="1" ht="18.75">
      <c r="A7" s="18" t="s">
        <v>0</v>
      </c>
      <c r="B7" s="19"/>
      <c r="C7" s="19"/>
      <c r="D7" s="20"/>
      <c r="E7" s="20"/>
      <c r="F7" s="171" t="s">
        <v>1</v>
      </c>
      <c r="G7" s="171"/>
      <c r="H7" s="171"/>
      <c r="I7" s="171"/>
      <c r="J7" s="171"/>
      <c r="K7" s="171"/>
      <c r="L7" s="171"/>
      <c r="M7" s="171"/>
      <c r="N7" s="20"/>
      <c r="O7" s="21"/>
      <c r="P7" s="21"/>
      <c r="Q7" s="21"/>
      <c r="R7" s="22"/>
      <c r="S7" s="23"/>
      <c r="T7" s="24"/>
      <c r="U7" s="25"/>
      <c r="V7" s="3"/>
      <c r="W7" s="26"/>
      <c r="X7" s="27"/>
    </row>
    <row r="8" spans="1:24" s="1" customFormat="1" ht="18.75">
      <c r="A8" s="29"/>
      <c r="B8" s="2"/>
      <c r="C8" s="2"/>
      <c r="D8" s="30"/>
      <c r="E8" s="115" t="s">
        <v>62</v>
      </c>
      <c r="F8" s="115"/>
      <c r="G8" s="115"/>
      <c r="H8" s="115"/>
      <c r="I8" s="115"/>
      <c r="J8" s="115"/>
      <c r="K8" s="115"/>
      <c r="L8" s="115"/>
      <c r="M8" s="115"/>
      <c r="N8" s="115"/>
      <c r="O8" s="30"/>
      <c r="P8" s="30"/>
      <c r="Q8" s="30"/>
      <c r="R8" s="30"/>
      <c r="S8" s="30"/>
      <c r="T8" s="30"/>
      <c r="U8" s="31"/>
      <c r="V8" s="30"/>
      <c r="W8" s="27"/>
      <c r="X8" s="27"/>
    </row>
    <row r="9" spans="1:24" s="1" customFormat="1" ht="12.75" customHeight="1">
      <c r="A9" s="172" t="s">
        <v>2</v>
      </c>
      <c r="B9" s="166"/>
      <c r="C9" s="166" t="s">
        <v>3</v>
      </c>
      <c r="D9" s="166" t="s">
        <v>4</v>
      </c>
      <c r="E9" s="166" t="s">
        <v>5</v>
      </c>
      <c r="F9" s="175" t="s">
        <v>6</v>
      </c>
      <c r="G9" s="176"/>
      <c r="H9" s="177"/>
      <c r="I9" s="184" t="s">
        <v>7</v>
      </c>
      <c r="J9" s="185"/>
      <c r="K9" s="185"/>
      <c r="L9" s="186"/>
      <c r="M9" s="175" t="s">
        <v>8</v>
      </c>
      <c r="N9" s="176"/>
      <c r="O9" s="177"/>
      <c r="P9" s="166" t="s">
        <v>61</v>
      </c>
      <c r="Q9" s="166" t="s">
        <v>9</v>
      </c>
      <c r="R9" s="166" t="s">
        <v>10</v>
      </c>
      <c r="S9" s="166" t="s">
        <v>11</v>
      </c>
      <c r="T9" s="166" t="s">
        <v>12</v>
      </c>
      <c r="U9" s="166" t="s">
        <v>13</v>
      </c>
      <c r="V9" s="119" t="s">
        <v>14</v>
      </c>
      <c r="W9" s="27"/>
      <c r="X9" s="27"/>
    </row>
    <row r="10" spans="1:24" s="1" customFormat="1" ht="12.75" hidden="1" customHeight="1">
      <c r="A10" s="173"/>
      <c r="B10" s="167"/>
      <c r="C10" s="167"/>
      <c r="D10" s="167"/>
      <c r="E10" s="167"/>
      <c r="F10" s="178"/>
      <c r="G10" s="179"/>
      <c r="H10" s="180"/>
      <c r="I10" s="187"/>
      <c r="J10" s="188"/>
      <c r="K10" s="188"/>
      <c r="L10" s="189"/>
      <c r="M10" s="178"/>
      <c r="N10" s="179"/>
      <c r="O10" s="180"/>
      <c r="P10" s="167"/>
      <c r="Q10" s="167"/>
      <c r="R10" s="194"/>
      <c r="S10" s="167"/>
      <c r="T10" s="167"/>
      <c r="U10" s="167"/>
      <c r="V10" s="193"/>
      <c r="W10" s="27"/>
      <c r="X10" s="27"/>
    </row>
    <row r="11" spans="1:24" s="1" customFormat="1">
      <c r="A11" s="173"/>
      <c r="B11" s="167"/>
      <c r="C11" s="167"/>
      <c r="D11" s="167"/>
      <c r="E11" s="167"/>
      <c r="F11" s="181"/>
      <c r="G11" s="182"/>
      <c r="H11" s="183"/>
      <c r="I11" s="190"/>
      <c r="J11" s="191"/>
      <c r="K11" s="191"/>
      <c r="L11" s="192"/>
      <c r="M11" s="181"/>
      <c r="N11" s="182"/>
      <c r="O11" s="183"/>
      <c r="P11" s="167"/>
      <c r="Q11" s="167"/>
      <c r="R11" s="194"/>
      <c r="S11" s="167"/>
      <c r="T11" s="167"/>
      <c r="U11" s="167"/>
      <c r="V11" s="193"/>
      <c r="W11" s="27"/>
      <c r="X11" s="27"/>
    </row>
    <row r="12" spans="1:24" s="1" customFormat="1" ht="12.75" customHeight="1">
      <c r="A12" s="173"/>
      <c r="B12" s="167"/>
      <c r="C12" s="167"/>
      <c r="D12" s="167"/>
      <c r="E12" s="167"/>
      <c r="F12" s="166" t="s">
        <v>15</v>
      </c>
      <c r="G12" s="166" t="s">
        <v>16</v>
      </c>
      <c r="H12" s="166" t="s">
        <v>17</v>
      </c>
      <c r="I12" s="119" t="s">
        <v>18</v>
      </c>
      <c r="J12" s="119" t="s">
        <v>19</v>
      </c>
      <c r="K12" s="184" t="s">
        <v>20</v>
      </c>
      <c r="L12" s="186"/>
      <c r="M12" s="166" t="s">
        <v>21</v>
      </c>
      <c r="N12" s="175" t="s">
        <v>22</v>
      </c>
      <c r="O12" s="177"/>
      <c r="P12" s="167"/>
      <c r="Q12" s="167"/>
      <c r="R12" s="194"/>
      <c r="S12" s="167"/>
      <c r="T12" s="167"/>
      <c r="U12" s="167"/>
      <c r="V12" s="193"/>
      <c r="W12" s="27"/>
      <c r="X12" s="27"/>
    </row>
    <row r="13" spans="1:24" s="1" customFormat="1">
      <c r="A13" s="173"/>
      <c r="B13" s="167"/>
      <c r="C13" s="167"/>
      <c r="D13" s="167"/>
      <c r="E13" s="167"/>
      <c r="F13" s="167"/>
      <c r="G13" s="167"/>
      <c r="H13" s="167"/>
      <c r="I13" s="193"/>
      <c r="J13" s="193"/>
      <c r="K13" s="187"/>
      <c r="L13" s="189"/>
      <c r="M13" s="167"/>
      <c r="N13" s="178"/>
      <c r="O13" s="180"/>
      <c r="P13" s="167"/>
      <c r="Q13" s="167"/>
      <c r="R13" s="194"/>
      <c r="S13" s="167"/>
      <c r="T13" s="167"/>
      <c r="U13" s="167"/>
      <c r="V13" s="193"/>
      <c r="W13" s="27"/>
      <c r="X13" s="27"/>
    </row>
    <row r="14" spans="1:24" s="1" customFormat="1">
      <c r="A14" s="173"/>
      <c r="B14" s="167"/>
      <c r="C14" s="167"/>
      <c r="D14" s="167"/>
      <c r="E14" s="167"/>
      <c r="F14" s="167"/>
      <c r="G14" s="167"/>
      <c r="H14" s="167"/>
      <c r="I14" s="193"/>
      <c r="J14" s="193"/>
      <c r="K14" s="187"/>
      <c r="L14" s="189"/>
      <c r="M14" s="167"/>
      <c r="N14" s="178"/>
      <c r="O14" s="180"/>
      <c r="P14" s="167"/>
      <c r="Q14" s="167"/>
      <c r="R14" s="194"/>
      <c r="S14" s="167"/>
      <c r="T14" s="167"/>
      <c r="U14" s="167"/>
      <c r="V14" s="193"/>
      <c r="W14" s="27"/>
      <c r="X14" s="27"/>
    </row>
    <row r="15" spans="1:24" s="1" customFormat="1">
      <c r="A15" s="173"/>
      <c r="B15" s="167"/>
      <c r="C15" s="167"/>
      <c r="D15" s="167"/>
      <c r="E15" s="167"/>
      <c r="F15" s="167"/>
      <c r="G15" s="167"/>
      <c r="H15" s="167"/>
      <c r="I15" s="193"/>
      <c r="J15" s="193"/>
      <c r="K15" s="190"/>
      <c r="L15" s="192"/>
      <c r="M15" s="167"/>
      <c r="N15" s="178"/>
      <c r="O15" s="180"/>
      <c r="P15" s="167"/>
      <c r="Q15" s="167"/>
      <c r="R15" s="194"/>
      <c r="S15" s="167"/>
      <c r="T15" s="167"/>
      <c r="U15" s="167"/>
      <c r="V15" s="193"/>
      <c r="W15" s="27"/>
      <c r="X15" s="27"/>
    </row>
    <row r="16" spans="1:24" s="1" customFormat="1" ht="9" customHeight="1">
      <c r="A16" s="173"/>
      <c r="B16" s="167"/>
      <c r="C16" s="167"/>
      <c r="D16" s="167"/>
      <c r="E16" s="167"/>
      <c r="F16" s="167"/>
      <c r="G16" s="167"/>
      <c r="H16" s="167"/>
      <c r="I16" s="193"/>
      <c r="J16" s="193"/>
      <c r="K16" s="119" t="s">
        <v>23</v>
      </c>
      <c r="L16" s="119" t="s">
        <v>24</v>
      </c>
      <c r="M16" s="168"/>
      <c r="N16" s="181"/>
      <c r="O16" s="183"/>
      <c r="P16" s="167"/>
      <c r="Q16" s="167"/>
      <c r="R16" s="194"/>
      <c r="S16" s="167"/>
      <c r="T16" s="167"/>
      <c r="U16" s="167"/>
      <c r="V16" s="193"/>
      <c r="W16" s="27"/>
      <c r="X16" s="27"/>
    </row>
    <row r="17" spans="1:24" s="1" customFormat="1" ht="11.25" customHeight="1">
      <c r="A17" s="174"/>
      <c r="B17" s="168"/>
      <c r="C17" s="168"/>
      <c r="D17" s="168"/>
      <c r="E17" s="168"/>
      <c r="F17" s="168"/>
      <c r="G17" s="168"/>
      <c r="H17" s="168"/>
      <c r="I17" s="120"/>
      <c r="J17" s="120"/>
      <c r="K17" s="120"/>
      <c r="L17" s="120"/>
      <c r="M17" s="32"/>
      <c r="N17" s="32" t="s">
        <v>23</v>
      </c>
      <c r="O17" s="32" t="s">
        <v>25</v>
      </c>
      <c r="P17" s="168"/>
      <c r="Q17" s="168"/>
      <c r="R17" s="195"/>
      <c r="S17" s="168"/>
      <c r="T17" s="168"/>
      <c r="U17" s="168"/>
      <c r="V17" s="120"/>
      <c r="W17" s="27"/>
      <c r="X17" s="27"/>
    </row>
    <row r="18" spans="1:24" s="27" customFormat="1">
      <c r="A18" s="131">
        <v>1</v>
      </c>
      <c r="B18" s="133" t="s">
        <v>26</v>
      </c>
      <c r="C18" s="169">
        <v>1</v>
      </c>
      <c r="D18" s="140">
        <v>8194</v>
      </c>
      <c r="E18" s="140">
        <f>D18*C18</f>
        <v>8194</v>
      </c>
      <c r="F18" s="150">
        <f>E18*0.2</f>
        <v>1638.8000000000002</v>
      </c>
      <c r="G18" s="140"/>
      <c r="H18" s="140"/>
      <c r="I18" s="117"/>
      <c r="J18" s="117">
        <f>(E18+F18+H18)*0.3</f>
        <v>2949.8399999999997</v>
      </c>
      <c r="K18" s="160">
        <v>30</v>
      </c>
      <c r="L18" s="125">
        <f>(E18+G18+F18+H18)*K18%</f>
        <v>2949.8399999999997</v>
      </c>
      <c r="M18" s="127"/>
      <c r="N18" s="127"/>
      <c r="O18" s="127"/>
      <c r="P18" s="127">
        <f>(E18+F18+G18+H18)*0.2</f>
        <v>1966.56</v>
      </c>
      <c r="Q18" s="127"/>
      <c r="R18" s="127"/>
      <c r="S18" s="127">
        <f>E18+F18+G18+H18+I18+J18+L18+P18</f>
        <v>17699.04</v>
      </c>
      <c r="T18" s="127"/>
      <c r="U18" s="127"/>
      <c r="V18" s="125">
        <f>(S18*6)+T18+U18</f>
        <v>106194.24000000001</v>
      </c>
      <c r="W18" s="33"/>
      <c r="X18" s="33"/>
    </row>
    <row r="19" spans="1:24" s="27" customFormat="1" ht="4.5" customHeight="1">
      <c r="A19" s="132"/>
      <c r="B19" s="134"/>
      <c r="C19" s="170"/>
      <c r="D19" s="141"/>
      <c r="E19" s="141"/>
      <c r="F19" s="151"/>
      <c r="G19" s="141"/>
      <c r="H19" s="141"/>
      <c r="I19" s="118"/>
      <c r="J19" s="118"/>
      <c r="K19" s="161"/>
      <c r="L19" s="126"/>
      <c r="M19" s="128"/>
      <c r="N19" s="128"/>
      <c r="O19" s="128"/>
      <c r="P19" s="128"/>
      <c r="Q19" s="128"/>
      <c r="R19" s="129"/>
      <c r="S19" s="128"/>
      <c r="T19" s="128"/>
      <c r="U19" s="128"/>
      <c r="V19" s="126"/>
    </row>
    <row r="20" spans="1:24" s="27" customFormat="1" ht="14.25" customHeight="1">
      <c r="A20" s="34">
        <v>2</v>
      </c>
      <c r="B20" s="35" t="s">
        <v>27</v>
      </c>
      <c r="C20" s="36">
        <v>1</v>
      </c>
      <c r="D20" s="37">
        <v>7107</v>
      </c>
      <c r="E20" s="113">
        <f>C20*D20</f>
        <v>7107</v>
      </c>
      <c r="F20" s="113">
        <f>E20*0.2</f>
        <v>1421.4</v>
      </c>
      <c r="G20" s="113"/>
      <c r="H20" s="113"/>
      <c r="I20" s="38"/>
      <c r="J20" s="38">
        <f>(E20+F20)*0.3</f>
        <v>2558.52</v>
      </c>
      <c r="K20" s="39">
        <v>30</v>
      </c>
      <c r="L20" s="40">
        <f>(E20+F20+G20)*0.3</f>
        <v>2558.52</v>
      </c>
      <c r="M20" s="41"/>
      <c r="N20" s="41"/>
      <c r="O20" s="41"/>
      <c r="P20" s="41">
        <f>(E20+F20+G20+H20)*0.2</f>
        <v>1705.68</v>
      </c>
      <c r="Q20" s="41"/>
      <c r="R20" s="41"/>
      <c r="S20" s="41">
        <f>E20+F20+G20+J20+L20+P20</f>
        <v>15351.12</v>
      </c>
      <c r="T20" s="41"/>
      <c r="U20" s="41"/>
      <c r="V20" s="40">
        <f>(S20*6)+T20+U20</f>
        <v>92106.72</v>
      </c>
    </row>
    <row r="21" spans="1:24" s="27" customFormat="1" ht="9.75" customHeight="1">
      <c r="A21" s="131">
        <v>3</v>
      </c>
      <c r="B21" s="133" t="s">
        <v>28</v>
      </c>
      <c r="C21" s="148">
        <v>1.55</v>
      </c>
      <c r="D21" s="140">
        <f>E21/C21</f>
        <v>6638.2580645161288</v>
      </c>
      <c r="E21" s="140">
        <f>5786*0.55+7107</f>
        <v>10289.299999999999</v>
      </c>
      <c r="F21" s="140"/>
      <c r="G21" s="150"/>
      <c r="H21" s="140"/>
      <c r="I21" s="117"/>
      <c r="J21" s="117"/>
      <c r="K21" s="42">
        <v>10</v>
      </c>
      <c r="L21" s="40">
        <v>0</v>
      </c>
      <c r="M21" s="127"/>
      <c r="N21" s="127"/>
      <c r="O21" s="127"/>
      <c r="P21" s="127">
        <f>(E21+F21+G21+H21)*0.2</f>
        <v>2057.86</v>
      </c>
      <c r="Q21" s="43"/>
      <c r="R21" s="127"/>
      <c r="S21" s="127">
        <f>P21+L23+E21+L22</f>
        <v>14479.259999999998</v>
      </c>
      <c r="T21" s="146"/>
      <c r="U21" s="146"/>
      <c r="V21" s="125">
        <f>S21*6+T21+U21</f>
        <v>86875.56</v>
      </c>
    </row>
    <row r="22" spans="1:24" s="27" customFormat="1" ht="12.75" customHeight="1">
      <c r="A22" s="156"/>
      <c r="B22" s="157"/>
      <c r="C22" s="158"/>
      <c r="D22" s="154"/>
      <c r="E22" s="154"/>
      <c r="F22" s="154"/>
      <c r="G22" s="153"/>
      <c r="H22" s="154"/>
      <c r="I22" s="155"/>
      <c r="J22" s="155"/>
      <c r="K22" s="42">
        <v>20</v>
      </c>
      <c r="L22" s="40">
        <v>0</v>
      </c>
      <c r="M22" s="152"/>
      <c r="N22" s="152"/>
      <c r="O22" s="152"/>
      <c r="P22" s="152"/>
      <c r="Q22" s="44"/>
      <c r="R22" s="164"/>
      <c r="S22" s="152"/>
      <c r="T22" s="147"/>
      <c r="U22" s="147"/>
      <c r="V22" s="162"/>
    </row>
    <row r="23" spans="1:24" s="27" customFormat="1">
      <c r="A23" s="132"/>
      <c r="B23" s="134"/>
      <c r="C23" s="149"/>
      <c r="D23" s="141"/>
      <c r="E23" s="141"/>
      <c r="F23" s="141"/>
      <c r="G23" s="151"/>
      <c r="H23" s="141"/>
      <c r="I23" s="118"/>
      <c r="J23" s="118"/>
      <c r="K23" s="42">
        <v>30</v>
      </c>
      <c r="L23" s="40">
        <f>7107*0.3</f>
        <v>2132.1</v>
      </c>
      <c r="M23" s="128"/>
      <c r="N23" s="128"/>
      <c r="O23" s="128"/>
      <c r="P23" s="128"/>
      <c r="Q23" s="45"/>
      <c r="R23" s="129"/>
      <c r="S23" s="128"/>
      <c r="T23" s="165"/>
      <c r="U23" s="165"/>
      <c r="V23" s="126"/>
    </row>
    <row r="24" spans="1:24" s="27" customFormat="1" ht="0.75" customHeight="1">
      <c r="A24" s="163">
        <v>4</v>
      </c>
      <c r="B24" s="142" t="s">
        <v>29</v>
      </c>
      <c r="C24" s="143">
        <v>6.71</v>
      </c>
      <c r="D24" s="145">
        <f>7107</f>
        <v>7107</v>
      </c>
      <c r="E24" s="144">
        <f>D24*C24-21051.26</f>
        <v>26636.710000000003</v>
      </c>
      <c r="F24" s="144"/>
      <c r="G24" s="145"/>
      <c r="H24" s="144"/>
      <c r="I24" s="137"/>
      <c r="J24" s="137"/>
      <c r="K24" s="42">
        <v>10</v>
      </c>
      <c r="L24" s="40"/>
      <c r="M24" s="127"/>
      <c r="N24" s="127"/>
      <c r="O24" s="127"/>
      <c r="P24" s="121">
        <f>(E24+F24+G24+H24)*0.2</f>
        <v>5327.3420000000006</v>
      </c>
      <c r="Q24" s="60"/>
      <c r="R24" s="121"/>
      <c r="S24" s="121">
        <f>E24+G24+L24+L25+P24+F24</f>
        <v>34096.152000000002</v>
      </c>
      <c r="T24" s="146"/>
      <c r="U24" s="146"/>
      <c r="V24" s="109">
        <f>(S24*6)+T24+U24</f>
        <v>204576.91200000001</v>
      </c>
    </row>
    <row r="25" spans="1:24" s="27" customFormat="1" ht="12.75" customHeight="1">
      <c r="A25" s="163"/>
      <c r="B25" s="142"/>
      <c r="C25" s="143"/>
      <c r="D25" s="145"/>
      <c r="E25" s="144"/>
      <c r="F25" s="144"/>
      <c r="G25" s="145"/>
      <c r="H25" s="144"/>
      <c r="I25" s="137"/>
      <c r="J25" s="137"/>
      <c r="K25" s="42">
        <v>30</v>
      </c>
      <c r="L25" s="40">
        <f>7107*1*K25%</f>
        <v>2132.1</v>
      </c>
      <c r="M25" s="152"/>
      <c r="N25" s="152"/>
      <c r="O25" s="152"/>
      <c r="P25" s="121"/>
      <c r="Q25" s="60"/>
      <c r="R25" s="130"/>
      <c r="S25" s="121"/>
      <c r="T25" s="147"/>
      <c r="U25" s="147"/>
      <c r="V25" s="110">
        <f>S24*6+T24+U24-44000.04-39600</f>
        <v>120976.872</v>
      </c>
      <c r="W25" s="29"/>
      <c r="X25" s="29"/>
    </row>
    <row r="26" spans="1:24" s="27" customFormat="1" ht="11.25" customHeight="1">
      <c r="A26" s="131">
        <v>5</v>
      </c>
      <c r="B26" s="133" t="s">
        <v>30</v>
      </c>
      <c r="C26" s="148">
        <f>1.55*30/25</f>
        <v>1.86</v>
      </c>
      <c r="D26" s="140">
        <f>(5786*1.86)/C26</f>
        <v>5786</v>
      </c>
      <c r="E26" s="140">
        <f>C26*D26</f>
        <v>10761.960000000001</v>
      </c>
      <c r="F26" s="140"/>
      <c r="G26" s="150"/>
      <c r="H26" s="140"/>
      <c r="I26" s="117"/>
      <c r="J26" s="117"/>
      <c r="K26" s="42">
        <v>20</v>
      </c>
      <c r="L26" s="40">
        <v>0</v>
      </c>
      <c r="M26" s="127"/>
      <c r="N26" s="127"/>
      <c r="O26" s="127"/>
      <c r="P26" s="121">
        <f>(E26+F26+G26)*0.2</f>
        <v>2152.3920000000003</v>
      </c>
      <c r="Q26" s="121">
        <f>E26*0.2</f>
        <v>2152.3920000000003</v>
      </c>
      <c r="R26" s="159"/>
      <c r="S26" s="121">
        <f>E26+F26+G26+L26+L27+L28+P26+Q26+4982.68</f>
        <v>23278.012000000002</v>
      </c>
      <c r="T26" s="146"/>
      <c r="U26" s="146"/>
      <c r="V26" s="110">
        <f t="shared" ref="V26:V27" si="0">S25*6+T25+U25</f>
        <v>0</v>
      </c>
      <c r="W26" s="1"/>
      <c r="X26" s="1"/>
    </row>
    <row r="27" spans="1:24" s="27" customFormat="1" ht="7.5" customHeight="1">
      <c r="A27" s="156"/>
      <c r="B27" s="157"/>
      <c r="C27" s="158"/>
      <c r="D27" s="154"/>
      <c r="E27" s="154"/>
      <c r="F27" s="154"/>
      <c r="G27" s="153"/>
      <c r="H27" s="154"/>
      <c r="I27" s="155"/>
      <c r="J27" s="155"/>
      <c r="K27" s="42">
        <v>20</v>
      </c>
      <c r="L27" s="40">
        <v>0</v>
      </c>
      <c r="M27" s="152"/>
      <c r="N27" s="152"/>
      <c r="O27" s="152"/>
      <c r="P27" s="121"/>
      <c r="Q27" s="121"/>
      <c r="R27" s="159"/>
      <c r="S27" s="121"/>
      <c r="T27" s="147"/>
      <c r="U27" s="147"/>
      <c r="V27" s="110">
        <f t="shared" si="0"/>
        <v>139668.07200000001</v>
      </c>
      <c r="W27" s="1"/>
      <c r="X27" s="1"/>
    </row>
    <row r="28" spans="1:24" s="27" customFormat="1" ht="12" customHeight="1">
      <c r="A28" s="156"/>
      <c r="B28" s="157"/>
      <c r="C28" s="158"/>
      <c r="D28" s="154"/>
      <c r="E28" s="154"/>
      <c r="F28" s="154"/>
      <c r="G28" s="153"/>
      <c r="H28" s="154"/>
      <c r="I28" s="155"/>
      <c r="J28" s="155"/>
      <c r="K28" s="46">
        <v>30</v>
      </c>
      <c r="L28" s="47">
        <f>(5786*1.86)*0.3</f>
        <v>3228.5880000000002</v>
      </c>
      <c r="M28" s="152"/>
      <c r="N28" s="152"/>
      <c r="O28" s="152"/>
      <c r="P28" s="121"/>
      <c r="Q28" s="121"/>
      <c r="R28" s="159"/>
      <c r="S28" s="121"/>
      <c r="T28" s="147"/>
      <c r="U28" s="147"/>
      <c r="V28" s="110">
        <f>S26*6+T26+U26</f>
        <v>139668.07200000001</v>
      </c>
      <c r="W28" s="29"/>
      <c r="X28" s="29"/>
    </row>
    <row r="29" spans="1:24" s="27" customFormat="1" ht="12.75" customHeight="1">
      <c r="A29" s="34"/>
      <c r="B29" s="35" t="s">
        <v>31</v>
      </c>
      <c r="C29" s="48">
        <v>1</v>
      </c>
      <c r="D29" s="37">
        <v>6226</v>
      </c>
      <c r="E29" s="113">
        <v>6226</v>
      </c>
      <c r="F29" s="113">
        <f>E29*0.2</f>
        <v>1245.2</v>
      </c>
      <c r="G29" s="113"/>
      <c r="H29" s="113"/>
      <c r="I29" s="38"/>
      <c r="J29" s="38"/>
      <c r="K29" s="42">
        <v>30</v>
      </c>
      <c r="L29" s="40">
        <f>(E29)*0.3</f>
        <v>1867.8</v>
      </c>
      <c r="M29" s="41"/>
      <c r="N29" s="41"/>
      <c r="O29" s="41"/>
      <c r="P29" s="41">
        <f>E29*0.2</f>
        <v>1245.2</v>
      </c>
      <c r="Q29" s="41"/>
      <c r="R29" s="49"/>
      <c r="S29" s="41">
        <f>P29+L29+E29</f>
        <v>9339</v>
      </c>
      <c r="T29" s="50"/>
      <c r="U29" s="50"/>
      <c r="V29" s="40">
        <f>S29*6+T29+U29</f>
        <v>56034</v>
      </c>
      <c r="W29" s="51"/>
      <c r="X29" s="51"/>
    </row>
    <row r="30" spans="1:24" s="27" customFormat="1" ht="15">
      <c r="A30" s="34">
        <v>7</v>
      </c>
      <c r="B30" s="35" t="s">
        <v>32</v>
      </c>
      <c r="C30" s="48">
        <v>1.86</v>
      </c>
      <c r="D30" s="37">
        <v>6226</v>
      </c>
      <c r="E30" s="113">
        <f>D30*C30</f>
        <v>11580.36</v>
      </c>
      <c r="F30" s="113">
        <f>E30*0.2</f>
        <v>2316.0720000000001</v>
      </c>
      <c r="G30" s="113"/>
      <c r="H30" s="113"/>
      <c r="I30" s="38"/>
      <c r="J30" s="38"/>
      <c r="K30" s="42">
        <v>30</v>
      </c>
      <c r="L30" s="40">
        <f>5786*1.86*0.3</f>
        <v>3228.5880000000002</v>
      </c>
      <c r="M30" s="41"/>
      <c r="N30" s="41"/>
      <c r="O30" s="41"/>
      <c r="P30" s="41">
        <f>E30*0.2</f>
        <v>2316.0720000000001</v>
      </c>
      <c r="Q30" s="41"/>
      <c r="R30" s="49"/>
      <c r="S30" s="41">
        <f>P30+L30+E30</f>
        <v>17125.02</v>
      </c>
      <c r="T30" s="50"/>
      <c r="U30" s="50"/>
      <c r="V30" s="40">
        <f>S30*6+T30+U30</f>
        <v>102750.12</v>
      </c>
      <c r="W30" s="51"/>
      <c r="X30" s="51"/>
    </row>
    <row r="31" spans="1:24" s="27" customFormat="1" ht="19.5" customHeight="1">
      <c r="A31" s="52">
        <v>8</v>
      </c>
      <c r="B31" s="53" t="s">
        <v>33</v>
      </c>
      <c r="C31" s="54">
        <v>0.5</v>
      </c>
      <c r="D31" s="55">
        <v>6226</v>
      </c>
      <c r="E31" s="112">
        <f>D31*C31</f>
        <v>3113</v>
      </c>
      <c r="F31" s="112"/>
      <c r="G31" s="112"/>
      <c r="H31" s="112"/>
      <c r="I31" s="56"/>
      <c r="J31" s="56"/>
      <c r="K31" s="57">
        <v>0</v>
      </c>
      <c r="L31" s="58">
        <v>0</v>
      </c>
      <c r="M31" s="45"/>
      <c r="N31" s="45"/>
      <c r="O31" s="45"/>
      <c r="P31" s="45">
        <f>(E31+F31+G31+H31)*0.2</f>
        <v>622.6</v>
      </c>
      <c r="Q31" s="45"/>
      <c r="R31" s="45"/>
      <c r="S31" s="45">
        <f>E31+P31+L31+G31</f>
        <v>3735.6</v>
      </c>
      <c r="T31" s="45"/>
      <c r="U31" s="45"/>
      <c r="V31" s="58">
        <f>S31*6+T31+U31</f>
        <v>22413.599999999999</v>
      </c>
      <c r="W31" s="51"/>
      <c r="X31" s="51"/>
    </row>
    <row r="32" spans="1:24" s="27" customFormat="1" ht="5.25" customHeight="1">
      <c r="A32" s="131">
        <v>9</v>
      </c>
      <c r="B32" s="133" t="s">
        <v>34</v>
      </c>
      <c r="C32" s="148">
        <v>1.5</v>
      </c>
      <c r="D32" s="117">
        <v>5786</v>
      </c>
      <c r="E32" s="140">
        <f>D32*C32</f>
        <v>8679</v>
      </c>
      <c r="F32" s="150"/>
      <c r="G32" s="140"/>
      <c r="H32" s="140"/>
      <c r="I32" s="117"/>
      <c r="J32" s="117"/>
      <c r="K32" s="119">
        <v>30</v>
      </c>
      <c r="L32" s="125">
        <f>5345*0.5*0.3</f>
        <v>801.75</v>
      </c>
      <c r="M32" s="127"/>
      <c r="N32" s="127"/>
      <c r="O32" s="127"/>
      <c r="P32" s="127">
        <f>(E32+F32+G32+H32)*0.2</f>
        <v>1735.8000000000002</v>
      </c>
      <c r="Q32" s="127"/>
      <c r="R32" s="127"/>
      <c r="S32" s="127">
        <f>E32+F32+G32+L32+P32+Q32</f>
        <v>11216.55</v>
      </c>
      <c r="T32" s="127"/>
      <c r="U32" s="127"/>
      <c r="V32" s="125">
        <f>S32*6+T32+U32</f>
        <v>67299.299999999988</v>
      </c>
      <c r="W32" s="51"/>
      <c r="X32" s="51"/>
    </row>
    <row r="33" spans="1:25" s="27" customFormat="1">
      <c r="A33" s="132"/>
      <c r="B33" s="134"/>
      <c r="C33" s="149"/>
      <c r="D33" s="118"/>
      <c r="E33" s="141"/>
      <c r="F33" s="151"/>
      <c r="G33" s="141"/>
      <c r="H33" s="141"/>
      <c r="I33" s="118"/>
      <c r="J33" s="118"/>
      <c r="K33" s="120"/>
      <c r="L33" s="126"/>
      <c r="M33" s="128"/>
      <c r="N33" s="128"/>
      <c r="O33" s="128"/>
      <c r="P33" s="128"/>
      <c r="Q33" s="128"/>
      <c r="R33" s="129"/>
      <c r="S33" s="128"/>
      <c r="T33" s="128"/>
      <c r="U33" s="128"/>
      <c r="V33" s="126"/>
      <c r="W33" s="51"/>
      <c r="X33" s="51"/>
    </row>
    <row r="34" spans="1:25" s="27" customFormat="1" ht="12.75" customHeight="1">
      <c r="A34" s="131">
        <v>10</v>
      </c>
      <c r="B34" s="142" t="s">
        <v>35</v>
      </c>
      <c r="C34" s="143">
        <v>0.75</v>
      </c>
      <c r="D34" s="144">
        <v>5786</v>
      </c>
      <c r="E34" s="145">
        <f>D34*C34</f>
        <v>4339.5</v>
      </c>
      <c r="F34" s="145"/>
      <c r="G34" s="144"/>
      <c r="H34" s="144"/>
      <c r="I34" s="137"/>
      <c r="J34" s="137"/>
      <c r="K34" s="59">
        <v>30</v>
      </c>
      <c r="L34" s="40">
        <f>E34*0.3</f>
        <v>1301.8499999999999</v>
      </c>
      <c r="M34" s="121"/>
      <c r="N34" s="121"/>
      <c r="O34" s="121"/>
      <c r="P34" s="121">
        <f>(E34+F34+G34+H34)*0.2</f>
        <v>867.90000000000009</v>
      </c>
      <c r="Q34" s="41"/>
      <c r="R34" s="121"/>
      <c r="S34" s="121">
        <f>E34+P34+L34+F34+L35</f>
        <v>6509.25</v>
      </c>
      <c r="T34" s="121"/>
      <c r="U34" s="121"/>
      <c r="V34" s="122">
        <f>S34*6+T34+U34</f>
        <v>39055.5</v>
      </c>
      <c r="W34" s="51"/>
      <c r="X34" s="51"/>
    </row>
    <row r="35" spans="1:25" s="27" customFormat="1" ht="0.75" customHeight="1">
      <c r="A35" s="132"/>
      <c r="B35" s="142"/>
      <c r="C35" s="143"/>
      <c r="D35" s="144"/>
      <c r="E35" s="145"/>
      <c r="F35" s="145"/>
      <c r="G35" s="144"/>
      <c r="H35" s="144"/>
      <c r="I35" s="137"/>
      <c r="J35" s="137"/>
      <c r="K35" s="61"/>
      <c r="L35" s="40">
        <f>E35*0.3</f>
        <v>0</v>
      </c>
      <c r="M35" s="121"/>
      <c r="N35" s="121"/>
      <c r="O35" s="121"/>
      <c r="P35" s="121"/>
      <c r="Q35" s="41"/>
      <c r="R35" s="130"/>
      <c r="S35" s="121"/>
      <c r="T35" s="121"/>
      <c r="U35" s="121"/>
      <c r="V35" s="122"/>
      <c r="W35" s="51"/>
      <c r="X35" s="51"/>
    </row>
    <row r="36" spans="1:25" s="27" customFormat="1" ht="12.75" customHeight="1">
      <c r="A36" s="52"/>
      <c r="B36" s="35" t="s">
        <v>36</v>
      </c>
      <c r="C36" s="36">
        <v>1</v>
      </c>
      <c r="D36" s="37">
        <v>5786</v>
      </c>
      <c r="E36" s="114">
        <v>5786</v>
      </c>
      <c r="F36" s="114"/>
      <c r="G36" s="113"/>
      <c r="H36" s="113"/>
      <c r="I36" s="38"/>
      <c r="J36" s="38"/>
      <c r="K36" s="59">
        <v>20</v>
      </c>
      <c r="L36" s="40">
        <f>E36*0.2</f>
        <v>1157.2</v>
      </c>
      <c r="M36" s="41"/>
      <c r="N36" s="41"/>
      <c r="O36" s="41"/>
      <c r="P36" s="41">
        <f>E36*0.2</f>
        <v>1157.2</v>
      </c>
      <c r="Q36" s="41"/>
      <c r="R36" s="49"/>
      <c r="S36" s="41">
        <f>E36+L36+P36+F36</f>
        <v>8100.4</v>
      </c>
      <c r="T36" s="50"/>
      <c r="U36" s="50"/>
      <c r="V36" s="40">
        <f>S36*6+T36+U36</f>
        <v>48602.399999999994</v>
      </c>
      <c r="W36" s="51">
        <f>S40*6</f>
        <v>1124312.8739999998</v>
      </c>
      <c r="X36" s="111">
        <f>W36-V40</f>
        <v>5.5999999865889549E-2</v>
      </c>
    </row>
    <row r="37" spans="1:25" s="27" customFormat="1" ht="12.75" customHeight="1">
      <c r="A37" s="62">
        <v>11</v>
      </c>
      <c r="B37" s="35" t="s">
        <v>37</v>
      </c>
      <c r="C37" s="48">
        <v>0.75</v>
      </c>
      <c r="D37" s="37">
        <v>5345</v>
      </c>
      <c r="E37" s="113">
        <f>D37*C37</f>
        <v>4008.75</v>
      </c>
      <c r="F37" s="113"/>
      <c r="G37" s="113"/>
      <c r="H37" s="113"/>
      <c r="I37" s="38"/>
      <c r="J37" s="38"/>
      <c r="K37" s="59">
        <v>30</v>
      </c>
      <c r="L37" s="40">
        <f>5345*0.25*0.3</f>
        <v>400.875</v>
      </c>
      <c r="M37" s="63"/>
      <c r="N37" s="63"/>
      <c r="O37" s="63"/>
      <c r="P37" s="41">
        <f>(E37+F37+G37+H37)*0.2</f>
        <v>801.75</v>
      </c>
      <c r="Q37" s="41"/>
      <c r="R37" s="41"/>
      <c r="S37" s="41">
        <f>E37+L37+P37+F37</f>
        <v>5211.375</v>
      </c>
      <c r="T37" s="50"/>
      <c r="U37" s="50"/>
      <c r="V37" s="40">
        <f>S37*6+T37+U37</f>
        <v>31268.25</v>
      </c>
      <c r="W37" s="51"/>
      <c r="X37" s="51"/>
    </row>
    <row r="38" spans="1:25" s="27" customFormat="1" ht="12.75" customHeight="1">
      <c r="A38" s="62"/>
      <c r="B38" s="53" t="s">
        <v>38</v>
      </c>
      <c r="C38" s="54">
        <v>1</v>
      </c>
      <c r="D38" s="55">
        <v>7107</v>
      </c>
      <c r="E38" s="112">
        <v>7107</v>
      </c>
      <c r="F38" s="112"/>
      <c r="G38" s="112"/>
      <c r="H38" s="112"/>
      <c r="I38" s="56"/>
      <c r="J38" s="56"/>
      <c r="K38" s="57">
        <v>30</v>
      </c>
      <c r="L38" s="40">
        <f>E38*0.3</f>
        <v>2132.1</v>
      </c>
      <c r="M38" s="64"/>
      <c r="N38" s="64"/>
      <c r="O38" s="64"/>
      <c r="P38" s="41">
        <f>(E38+F38+G38+H38)*0.2</f>
        <v>1421.4</v>
      </c>
      <c r="Q38" s="45">
        <f>E38*0.2</f>
        <v>1421.4</v>
      </c>
      <c r="R38" s="45"/>
      <c r="S38" s="41">
        <f>E38+L38+P38+F38</f>
        <v>10660.5</v>
      </c>
      <c r="T38" s="50"/>
      <c r="U38" s="50"/>
      <c r="V38" s="40">
        <f>S38*6+T38+U38</f>
        <v>63963</v>
      </c>
      <c r="W38" s="51"/>
      <c r="X38" s="51"/>
    </row>
    <row r="39" spans="1:25" s="27" customFormat="1" ht="14.25" customHeight="1">
      <c r="A39" s="62">
        <v>12</v>
      </c>
      <c r="B39" s="53" t="s">
        <v>39</v>
      </c>
      <c r="C39" s="54">
        <v>1</v>
      </c>
      <c r="D39" s="55">
        <v>6226</v>
      </c>
      <c r="E39" s="112">
        <f>D39*C39</f>
        <v>6226</v>
      </c>
      <c r="F39" s="112"/>
      <c r="G39" s="112"/>
      <c r="H39" s="112"/>
      <c r="I39" s="56"/>
      <c r="J39" s="56"/>
      <c r="K39" s="57">
        <v>30</v>
      </c>
      <c r="L39" s="58">
        <f>(E39+F39+G39)*K39%</f>
        <v>1867.8</v>
      </c>
      <c r="M39" s="64"/>
      <c r="N39" s="64"/>
      <c r="O39" s="64"/>
      <c r="P39" s="45">
        <f>(E39+F39+G39+H39)*0.2</f>
        <v>1245.2</v>
      </c>
      <c r="Q39" s="45">
        <f>E39*0.2</f>
        <v>1245.2</v>
      </c>
      <c r="R39" s="45"/>
      <c r="S39" s="45">
        <f>E39+L39+P39+F39+Q39</f>
        <v>10584.2</v>
      </c>
      <c r="T39" s="65"/>
      <c r="U39" s="65"/>
      <c r="V39" s="58">
        <f>S39*6+T39+U39</f>
        <v>63505.200000000004</v>
      </c>
      <c r="W39" s="51"/>
      <c r="X39" s="51"/>
    </row>
    <row r="40" spans="1:25" s="27" customFormat="1" ht="26.25" customHeight="1">
      <c r="A40" s="66"/>
      <c r="B40" s="67" t="s">
        <v>40</v>
      </c>
      <c r="C40" s="68">
        <f t="shared" ref="C40:J40" si="1">SUM(C18:C39)</f>
        <v>21.479999999999997</v>
      </c>
      <c r="D40" s="68">
        <f t="shared" si="1"/>
        <v>89546.258064516122</v>
      </c>
      <c r="E40" s="68">
        <f>E18+E20+E21+E24+E26+E29+E30+E31+E32+E34+E36+E37+E38+E39</f>
        <v>120054.58</v>
      </c>
      <c r="F40" s="68">
        <f t="shared" si="1"/>
        <v>6621.4720000000007</v>
      </c>
      <c r="G40" s="68">
        <f t="shared" si="1"/>
        <v>0</v>
      </c>
      <c r="H40" s="68">
        <f t="shared" si="1"/>
        <v>0</v>
      </c>
      <c r="I40" s="68">
        <f t="shared" si="1"/>
        <v>0</v>
      </c>
      <c r="J40" s="68">
        <f t="shared" si="1"/>
        <v>5508.36</v>
      </c>
      <c r="K40" s="68"/>
      <c r="L40" s="68">
        <f t="shared" ref="L40:U40" si="2">SUM(L18:L39)</f>
        <v>25759.110999999997</v>
      </c>
      <c r="M40" s="68">
        <f t="shared" si="2"/>
        <v>0</v>
      </c>
      <c r="N40" s="68">
        <f t="shared" si="2"/>
        <v>0</v>
      </c>
      <c r="O40" s="68">
        <f t="shared" si="2"/>
        <v>0</v>
      </c>
      <c r="P40" s="68">
        <f t="shared" si="2"/>
        <v>24622.956000000002</v>
      </c>
      <c r="Q40" s="68">
        <f t="shared" si="2"/>
        <v>4818.9920000000002</v>
      </c>
      <c r="R40" s="68">
        <f t="shared" si="2"/>
        <v>0</v>
      </c>
      <c r="S40" s="68">
        <f>SUM(S18:S39)</f>
        <v>187385.47899999999</v>
      </c>
      <c r="T40" s="68">
        <f t="shared" si="2"/>
        <v>0</v>
      </c>
      <c r="U40" s="68">
        <f t="shared" si="2"/>
        <v>0</v>
      </c>
      <c r="V40" s="68">
        <f>SUM(V18:V39)-260645</f>
        <v>1124312.818</v>
      </c>
      <c r="W40" s="51">
        <f>S40*6</f>
        <v>1124312.8739999998</v>
      </c>
      <c r="X40" s="51"/>
      <c r="Y40" s="26">
        <f>V40-W40</f>
        <v>-5.5999999865889549E-2</v>
      </c>
    </row>
    <row r="41" spans="1:25" s="27" customFormat="1" ht="15" customHeight="1">
      <c r="A41" s="69">
        <v>1</v>
      </c>
      <c r="B41" s="70" t="s">
        <v>41</v>
      </c>
      <c r="C41" s="48">
        <v>1</v>
      </c>
      <c r="D41" s="37">
        <v>4379</v>
      </c>
      <c r="E41" s="37">
        <f t="shared" ref="E41:E55" si="3">D41*C41</f>
        <v>4379</v>
      </c>
      <c r="F41" s="37"/>
      <c r="G41" s="37"/>
      <c r="H41" s="37"/>
      <c r="I41" s="38"/>
      <c r="J41" s="38">
        <f>D41*0.25</f>
        <v>1094.75</v>
      </c>
      <c r="K41" s="59"/>
      <c r="L41" s="71"/>
      <c r="M41" s="63"/>
      <c r="N41" s="72"/>
      <c r="O41" s="63"/>
      <c r="P41" s="41"/>
      <c r="Q41" s="41"/>
      <c r="R41" s="41">
        <f t="shared" ref="R41:R49" si="4">6000*C41-(E41+F41+J41+L41)</f>
        <v>526.25</v>
      </c>
      <c r="S41" s="41">
        <f t="shared" ref="S41:S47" si="5">E41+J41+F41+M41+O41+R41</f>
        <v>6000</v>
      </c>
      <c r="T41" s="50"/>
      <c r="U41" s="73"/>
      <c r="V41" s="40">
        <f t="shared" ref="V41:V55" si="6">S41*6+U41</f>
        <v>36000</v>
      </c>
      <c r="W41" s="51"/>
      <c r="X41" s="51"/>
    </row>
    <row r="42" spans="1:25" s="27" customFormat="1" ht="12.75" customHeight="1">
      <c r="A42" s="69">
        <v>2</v>
      </c>
      <c r="B42" s="70" t="s">
        <v>42</v>
      </c>
      <c r="C42" s="48">
        <v>2</v>
      </c>
      <c r="D42" s="37">
        <v>3391</v>
      </c>
      <c r="E42" s="37">
        <f t="shared" si="3"/>
        <v>6782</v>
      </c>
      <c r="F42" s="37"/>
      <c r="G42" s="37"/>
      <c r="H42" s="37"/>
      <c r="I42" s="38"/>
      <c r="J42" s="38"/>
      <c r="K42" s="42"/>
      <c r="L42" s="71"/>
      <c r="M42" s="63"/>
      <c r="N42" s="72">
        <v>4</v>
      </c>
      <c r="O42" s="63">
        <f>E42*N42/100</f>
        <v>271.27999999999997</v>
      </c>
      <c r="P42" s="41"/>
      <c r="Q42" s="41"/>
      <c r="R42" s="41">
        <f t="shared" si="4"/>
        <v>5218</v>
      </c>
      <c r="S42" s="41">
        <f t="shared" si="5"/>
        <v>12271.279999999999</v>
      </c>
      <c r="T42" s="41"/>
      <c r="U42" s="73"/>
      <c r="V42" s="40">
        <f t="shared" si="6"/>
        <v>73627.679999999993</v>
      </c>
      <c r="W42" s="51"/>
      <c r="X42" s="51"/>
    </row>
    <row r="43" spans="1:25" s="27" customFormat="1" ht="13.5" customHeight="1">
      <c r="A43" s="69">
        <v>3</v>
      </c>
      <c r="B43" s="70" t="s">
        <v>43</v>
      </c>
      <c r="C43" s="48">
        <v>1.5</v>
      </c>
      <c r="D43" s="37">
        <v>2670</v>
      </c>
      <c r="E43" s="37">
        <f t="shared" si="3"/>
        <v>4005</v>
      </c>
      <c r="F43" s="37"/>
      <c r="G43" s="37"/>
      <c r="H43" s="37"/>
      <c r="I43" s="38"/>
      <c r="J43" s="38"/>
      <c r="K43" s="42"/>
      <c r="L43" s="71"/>
      <c r="M43" s="63"/>
      <c r="N43" s="72">
        <v>10</v>
      </c>
      <c r="O43" s="63">
        <f>E43*N43/100</f>
        <v>400.5</v>
      </c>
      <c r="P43" s="41"/>
      <c r="Q43" s="41"/>
      <c r="R43" s="41">
        <f t="shared" si="4"/>
        <v>4995</v>
      </c>
      <c r="S43" s="41">
        <f t="shared" si="5"/>
        <v>9400.5</v>
      </c>
      <c r="T43" s="41"/>
      <c r="U43" s="73"/>
      <c r="V43" s="40">
        <f t="shared" si="6"/>
        <v>56403</v>
      </c>
      <c r="W43" s="51"/>
      <c r="X43" s="51"/>
    </row>
    <row r="44" spans="1:25" s="27" customFormat="1" ht="27" customHeight="1">
      <c r="A44" s="69">
        <v>4</v>
      </c>
      <c r="B44" s="35" t="s">
        <v>44</v>
      </c>
      <c r="C44" s="48">
        <v>0.5</v>
      </c>
      <c r="D44" s="37">
        <v>4379</v>
      </c>
      <c r="E44" s="37">
        <f t="shared" si="3"/>
        <v>2189.5</v>
      </c>
      <c r="F44" s="37"/>
      <c r="G44" s="37"/>
      <c r="H44" s="37"/>
      <c r="I44" s="38"/>
      <c r="J44" s="38"/>
      <c r="K44" s="42"/>
      <c r="L44" s="71"/>
      <c r="M44" s="63"/>
      <c r="N44" s="72"/>
      <c r="O44" s="63"/>
      <c r="P44" s="41"/>
      <c r="Q44" s="41"/>
      <c r="R44" s="41">
        <f t="shared" si="4"/>
        <v>810.5</v>
      </c>
      <c r="S44" s="41">
        <f t="shared" si="5"/>
        <v>3000</v>
      </c>
      <c r="T44" s="41"/>
      <c r="U44" s="73"/>
      <c r="V44" s="40">
        <f t="shared" si="6"/>
        <v>18000</v>
      </c>
      <c r="W44" s="51"/>
      <c r="X44" s="51"/>
    </row>
    <row r="45" spans="1:25" s="27" customFormat="1" ht="12.75" customHeight="1">
      <c r="A45" s="69">
        <v>5</v>
      </c>
      <c r="B45" s="35" t="s">
        <v>45</v>
      </c>
      <c r="C45" s="48">
        <v>1</v>
      </c>
      <c r="D45" s="37">
        <v>2910</v>
      </c>
      <c r="E45" s="37">
        <f t="shared" si="3"/>
        <v>2910</v>
      </c>
      <c r="F45" s="37"/>
      <c r="G45" s="37"/>
      <c r="H45" s="37"/>
      <c r="I45" s="38"/>
      <c r="J45" s="38"/>
      <c r="K45" s="42"/>
      <c r="L45" s="71"/>
      <c r="M45" s="63"/>
      <c r="N45" s="72"/>
      <c r="O45" s="63"/>
      <c r="P45" s="41"/>
      <c r="Q45" s="41"/>
      <c r="R45" s="41">
        <f t="shared" si="4"/>
        <v>3090</v>
      </c>
      <c r="S45" s="41">
        <f t="shared" si="5"/>
        <v>6000</v>
      </c>
      <c r="T45" s="41"/>
      <c r="U45" s="73"/>
      <c r="V45" s="40">
        <f t="shared" si="6"/>
        <v>36000</v>
      </c>
      <c r="W45" s="51"/>
      <c r="X45" s="51"/>
    </row>
    <row r="46" spans="1:25" s="27" customFormat="1" ht="25.5" customHeight="1">
      <c r="A46" s="69">
        <v>6</v>
      </c>
      <c r="B46" s="35" t="s">
        <v>46</v>
      </c>
      <c r="C46" s="74">
        <v>1.5</v>
      </c>
      <c r="D46" s="38">
        <v>2910</v>
      </c>
      <c r="E46" s="38">
        <f t="shared" si="3"/>
        <v>4365</v>
      </c>
      <c r="F46" s="38"/>
      <c r="G46" s="38"/>
      <c r="H46" s="38"/>
      <c r="I46" s="38"/>
      <c r="J46" s="38"/>
      <c r="K46" s="42"/>
      <c r="L46" s="71"/>
      <c r="M46" s="63"/>
      <c r="N46" s="72">
        <v>4</v>
      </c>
      <c r="O46" s="63">
        <f>E46*N46%</f>
        <v>174.6</v>
      </c>
      <c r="P46" s="41"/>
      <c r="Q46" s="41"/>
      <c r="R46" s="41">
        <f t="shared" si="4"/>
        <v>4635</v>
      </c>
      <c r="S46" s="41">
        <f t="shared" si="5"/>
        <v>9174.6</v>
      </c>
      <c r="T46" s="41"/>
      <c r="U46" s="73"/>
      <c r="V46" s="40">
        <f t="shared" si="6"/>
        <v>55047.600000000006</v>
      </c>
      <c r="W46" s="51"/>
      <c r="X46" s="51"/>
    </row>
    <row r="47" spans="1:25" s="27" customFormat="1" ht="24.75" customHeight="1">
      <c r="A47" s="69">
        <v>7</v>
      </c>
      <c r="B47" s="35" t="s">
        <v>47</v>
      </c>
      <c r="C47" s="74">
        <v>1</v>
      </c>
      <c r="D47" s="38">
        <v>2910</v>
      </c>
      <c r="E47" s="38">
        <f t="shared" si="3"/>
        <v>2910</v>
      </c>
      <c r="F47" s="38"/>
      <c r="G47" s="38"/>
      <c r="H47" s="38"/>
      <c r="I47" s="38"/>
      <c r="J47" s="38"/>
      <c r="K47" s="42"/>
      <c r="L47" s="71"/>
      <c r="M47" s="63"/>
      <c r="N47" s="72">
        <v>10</v>
      </c>
      <c r="O47" s="63">
        <f>E47*N47%</f>
        <v>291</v>
      </c>
      <c r="P47" s="41"/>
      <c r="Q47" s="41"/>
      <c r="R47" s="41">
        <f t="shared" si="4"/>
        <v>3090</v>
      </c>
      <c r="S47" s="41">
        <f t="shared" si="5"/>
        <v>6291</v>
      </c>
      <c r="T47" s="41"/>
      <c r="U47" s="73"/>
      <c r="V47" s="40">
        <f t="shared" si="6"/>
        <v>37746</v>
      </c>
      <c r="W47" s="51"/>
      <c r="X47" s="51"/>
    </row>
    <row r="48" spans="1:25" s="27" customFormat="1" ht="24.75" customHeight="1">
      <c r="A48" s="69"/>
      <c r="B48" s="35" t="s">
        <v>48</v>
      </c>
      <c r="C48" s="74">
        <v>4.25</v>
      </c>
      <c r="D48" s="38">
        <v>3872</v>
      </c>
      <c r="E48" s="38">
        <f>D48*C48</f>
        <v>16456</v>
      </c>
      <c r="F48" s="38"/>
      <c r="G48" s="38"/>
      <c r="H48" s="38"/>
      <c r="I48" s="38"/>
      <c r="J48" s="38"/>
      <c r="K48" s="42"/>
      <c r="L48" s="71"/>
      <c r="M48" s="63"/>
      <c r="N48" s="72">
        <v>9</v>
      </c>
      <c r="O48" s="63">
        <f>E48*N48%</f>
        <v>1481.04</v>
      </c>
      <c r="P48" s="41"/>
      <c r="Q48" s="41"/>
      <c r="R48" s="41">
        <f t="shared" si="4"/>
        <v>9044</v>
      </c>
      <c r="S48" s="41">
        <f>E48+J48+F48+M48+O48+R48</f>
        <v>26981.040000000001</v>
      </c>
      <c r="T48" s="41"/>
      <c r="U48" s="73"/>
      <c r="V48" s="40">
        <f t="shared" si="6"/>
        <v>161886.24</v>
      </c>
      <c r="W48" s="51"/>
      <c r="X48" s="51"/>
    </row>
    <row r="49" spans="1:24" s="27" customFormat="1" ht="15.75" customHeight="1">
      <c r="A49" s="69">
        <v>8</v>
      </c>
      <c r="B49" s="35" t="s">
        <v>49</v>
      </c>
      <c r="C49" s="74">
        <v>1</v>
      </c>
      <c r="D49" s="38">
        <v>3872</v>
      </c>
      <c r="E49" s="38">
        <f t="shared" si="3"/>
        <v>3872</v>
      </c>
      <c r="F49" s="38">
        <f>E49*0.2</f>
        <v>774.40000000000009</v>
      </c>
      <c r="G49" s="38"/>
      <c r="H49" s="38"/>
      <c r="I49" s="38"/>
      <c r="J49" s="38"/>
      <c r="K49" s="42"/>
      <c r="L49" s="71"/>
      <c r="M49" s="63"/>
      <c r="N49" s="72">
        <v>10</v>
      </c>
      <c r="O49" s="63">
        <f>E49*N49%</f>
        <v>387.20000000000005</v>
      </c>
      <c r="P49" s="41"/>
      <c r="Q49" s="41"/>
      <c r="R49" s="41">
        <f t="shared" si="4"/>
        <v>1353.6000000000004</v>
      </c>
      <c r="S49" s="41">
        <f>E49+J49+F49+M49+O49+R49</f>
        <v>6387.2</v>
      </c>
      <c r="T49" s="41"/>
      <c r="U49" s="73"/>
      <c r="V49" s="40">
        <f t="shared" si="6"/>
        <v>38323.199999999997</v>
      </c>
      <c r="W49" s="51"/>
      <c r="X49" s="51"/>
    </row>
    <row r="50" spans="1:24" s="27" customFormat="1" ht="27.75" customHeight="1">
      <c r="A50" s="69">
        <v>10</v>
      </c>
      <c r="B50" s="35" t="s">
        <v>50</v>
      </c>
      <c r="C50" s="74">
        <v>1</v>
      </c>
      <c r="D50" s="38">
        <v>3872</v>
      </c>
      <c r="E50" s="38">
        <f t="shared" si="3"/>
        <v>3872</v>
      </c>
      <c r="F50" s="75"/>
      <c r="G50" s="38"/>
      <c r="H50" s="38"/>
      <c r="I50" s="38"/>
      <c r="J50" s="38"/>
      <c r="K50" s="42"/>
      <c r="L50" s="71"/>
      <c r="M50" s="63"/>
      <c r="N50" s="72">
        <v>10</v>
      </c>
      <c r="O50" s="63">
        <f>(E50+F50)*N50%</f>
        <v>387.20000000000005</v>
      </c>
      <c r="P50" s="41"/>
      <c r="Q50" s="41">
        <f>E50*0.2</f>
        <v>774.40000000000009</v>
      </c>
      <c r="R50" s="41">
        <f>6000*C50-(E50+F50+J50+L50+Q50)</f>
        <v>1353.6000000000004</v>
      </c>
      <c r="S50" s="41">
        <f>E50+J50+M50+O50+R50+F50+Q50</f>
        <v>6387.2000000000007</v>
      </c>
      <c r="T50" s="41"/>
      <c r="U50" s="73"/>
      <c r="V50" s="40">
        <f t="shared" si="6"/>
        <v>38323.200000000004</v>
      </c>
      <c r="W50" s="51"/>
      <c r="X50" s="51"/>
    </row>
    <row r="51" spans="1:24" s="27" customFormat="1" ht="13.5" customHeight="1">
      <c r="A51" s="69">
        <v>11</v>
      </c>
      <c r="B51" s="35" t="s">
        <v>51</v>
      </c>
      <c r="C51" s="74">
        <v>1.1299999999999999</v>
      </c>
      <c r="D51" s="38">
        <v>3872</v>
      </c>
      <c r="E51" s="38">
        <f>D51*C51</f>
        <v>4375.3599999999997</v>
      </c>
      <c r="F51" s="38"/>
      <c r="G51" s="38"/>
      <c r="H51" s="38"/>
      <c r="I51" s="38"/>
      <c r="J51" s="38"/>
      <c r="K51" s="42"/>
      <c r="L51" s="71"/>
      <c r="M51" s="71"/>
      <c r="N51" s="76">
        <v>10</v>
      </c>
      <c r="O51" s="71">
        <f>E51*N51%</f>
        <v>437.536</v>
      </c>
      <c r="P51" s="40"/>
      <c r="Q51" s="40"/>
      <c r="R51" s="40">
        <f>6000*C51-(E51+F51+J51+L51)</f>
        <v>2404.6399999999994</v>
      </c>
      <c r="S51" s="40">
        <f>E51+J51+F51+M51+O51+R51</f>
        <v>7217.5359999999991</v>
      </c>
      <c r="T51" s="40"/>
      <c r="U51" s="73"/>
      <c r="V51" s="40">
        <f t="shared" si="6"/>
        <v>43305.215999999993</v>
      </c>
      <c r="W51" s="51"/>
      <c r="X51" s="51"/>
    </row>
    <row r="52" spans="1:24" s="33" customFormat="1" ht="13.5" customHeight="1">
      <c r="A52" s="69">
        <v>12</v>
      </c>
      <c r="B52" s="35" t="s">
        <v>52</v>
      </c>
      <c r="C52" s="74">
        <v>3</v>
      </c>
      <c r="D52" s="38">
        <v>2910</v>
      </c>
      <c r="E52" s="38">
        <f t="shared" si="3"/>
        <v>8730</v>
      </c>
      <c r="F52" s="38"/>
      <c r="G52" s="38"/>
      <c r="H52" s="38"/>
      <c r="I52" s="38"/>
      <c r="J52" s="38"/>
      <c r="K52" s="42"/>
      <c r="L52" s="71"/>
      <c r="M52" s="40">
        <f>D52*1.4/167*23*3</f>
        <v>1683.269461077844</v>
      </c>
      <c r="N52" s="71"/>
      <c r="O52" s="71"/>
      <c r="P52" s="40"/>
      <c r="Q52" s="40"/>
      <c r="R52" s="40">
        <f>6000*C52-(E52+F52+J52+L52)</f>
        <v>9270</v>
      </c>
      <c r="S52" s="40">
        <f>E52+J52+F52+M52+O52+R52</f>
        <v>19683.269461077842</v>
      </c>
      <c r="T52" s="40"/>
      <c r="U52" s="73"/>
      <c r="V52" s="40">
        <f t="shared" si="6"/>
        <v>118099.61676646705</v>
      </c>
      <c r="W52" s="51"/>
      <c r="X52" s="51"/>
    </row>
    <row r="53" spans="1:24" s="33" customFormat="1" ht="13.5" customHeight="1">
      <c r="A53" s="69"/>
      <c r="B53" s="35" t="s">
        <v>53</v>
      </c>
      <c r="C53" s="74">
        <v>2.5</v>
      </c>
      <c r="D53" s="38">
        <v>2670</v>
      </c>
      <c r="E53" s="38">
        <f t="shared" si="3"/>
        <v>6675</v>
      </c>
      <c r="F53" s="38"/>
      <c r="G53" s="38"/>
      <c r="H53" s="38"/>
      <c r="I53" s="38"/>
      <c r="J53" s="38"/>
      <c r="K53" s="42"/>
      <c r="L53" s="71"/>
      <c r="M53" s="40"/>
      <c r="N53" s="71"/>
      <c r="O53" s="71"/>
      <c r="P53" s="40"/>
      <c r="Q53" s="40"/>
      <c r="R53" s="40">
        <f>6000*C53-(E53+F53+J53+L53)</f>
        <v>8325</v>
      </c>
      <c r="S53" s="108">
        <f>E53+J53+F53+M53+O53+R53</f>
        <v>15000</v>
      </c>
      <c r="T53" s="40"/>
      <c r="U53" s="73"/>
      <c r="V53" s="40">
        <f t="shared" si="6"/>
        <v>90000</v>
      </c>
      <c r="W53" s="51"/>
      <c r="X53" s="51"/>
    </row>
    <row r="54" spans="1:24" s="27" customFormat="1" ht="15.75" customHeight="1">
      <c r="A54" s="69">
        <v>13</v>
      </c>
      <c r="B54" s="35" t="s">
        <v>54</v>
      </c>
      <c r="C54" s="74">
        <v>1</v>
      </c>
      <c r="D54" s="38">
        <v>2670</v>
      </c>
      <c r="E54" s="38">
        <f t="shared" si="3"/>
        <v>2670</v>
      </c>
      <c r="F54" s="38"/>
      <c r="G54" s="38"/>
      <c r="H54" s="38"/>
      <c r="I54" s="38"/>
      <c r="J54" s="38"/>
      <c r="K54" s="42"/>
      <c r="L54" s="71"/>
      <c r="M54" s="71"/>
      <c r="N54" s="71"/>
      <c r="O54" s="71"/>
      <c r="P54" s="40"/>
      <c r="Q54" s="40"/>
      <c r="R54" s="40">
        <f>6000*C54-(E54+F54+J54+L54)</f>
        <v>3330</v>
      </c>
      <c r="S54" s="40">
        <f>E54+J54+F54+M54+O54+R54</f>
        <v>6000</v>
      </c>
      <c r="T54" s="40"/>
      <c r="U54" s="73"/>
      <c r="V54" s="40">
        <f t="shared" si="6"/>
        <v>36000</v>
      </c>
      <c r="W54" s="51"/>
      <c r="X54" s="51"/>
    </row>
    <row r="55" spans="1:24" s="27" customFormat="1" ht="12" customHeight="1">
      <c r="A55" s="131">
        <v>15</v>
      </c>
      <c r="B55" s="133" t="s">
        <v>55</v>
      </c>
      <c r="C55" s="135">
        <v>1</v>
      </c>
      <c r="D55" s="117">
        <v>3872</v>
      </c>
      <c r="E55" s="117">
        <f t="shared" si="3"/>
        <v>3872</v>
      </c>
      <c r="F55" s="140"/>
      <c r="G55" s="117"/>
      <c r="H55" s="117"/>
      <c r="I55" s="117"/>
      <c r="J55" s="117"/>
      <c r="K55" s="119">
        <v>30</v>
      </c>
      <c r="L55" s="125">
        <f>E55*0.3</f>
        <v>1161.5999999999999</v>
      </c>
      <c r="M55" s="138"/>
      <c r="N55" s="76">
        <v>10</v>
      </c>
      <c r="O55" s="71">
        <f>E55*10%</f>
        <v>387.20000000000005</v>
      </c>
      <c r="P55" s="125"/>
      <c r="Q55" s="47"/>
      <c r="R55" s="125"/>
      <c r="S55" s="125">
        <f>E55+L55+O55+O56+P55+R55+R56</f>
        <v>5808</v>
      </c>
      <c r="T55" s="123"/>
      <c r="U55" s="123"/>
      <c r="V55" s="125">
        <f t="shared" si="6"/>
        <v>34848</v>
      </c>
      <c r="W55" s="51"/>
      <c r="X55" s="51"/>
    </row>
    <row r="56" spans="1:24" s="27" customFormat="1" ht="10.5" customHeight="1">
      <c r="A56" s="132"/>
      <c r="B56" s="134"/>
      <c r="C56" s="136"/>
      <c r="D56" s="118"/>
      <c r="E56" s="118"/>
      <c r="F56" s="141"/>
      <c r="G56" s="118"/>
      <c r="H56" s="118"/>
      <c r="I56" s="118"/>
      <c r="J56" s="118"/>
      <c r="K56" s="120"/>
      <c r="L56" s="126"/>
      <c r="M56" s="139"/>
      <c r="N56" s="76">
        <v>10</v>
      </c>
      <c r="O56" s="71">
        <f>E55*10%</f>
        <v>387.20000000000005</v>
      </c>
      <c r="P56" s="126"/>
      <c r="Q56" s="58"/>
      <c r="R56" s="126"/>
      <c r="S56" s="126"/>
      <c r="T56" s="124"/>
      <c r="U56" s="124"/>
      <c r="V56" s="126"/>
      <c r="W56" s="51"/>
      <c r="X56" s="51"/>
    </row>
    <row r="57" spans="1:24" s="27" customFormat="1" ht="25.5" customHeight="1">
      <c r="A57" s="52">
        <v>16</v>
      </c>
      <c r="B57" s="77" t="s">
        <v>56</v>
      </c>
      <c r="C57" s="78">
        <v>0.5</v>
      </c>
      <c r="D57" s="79">
        <v>4379</v>
      </c>
      <c r="E57" s="79">
        <f>D57*C57</f>
        <v>2189.5</v>
      </c>
      <c r="F57" s="55"/>
      <c r="G57" s="56"/>
      <c r="H57" s="56"/>
      <c r="I57" s="56"/>
      <c r="J57" s="56"/>
      <c r="K57" s="57">
        <v>30</v>
      </c>
      <c r="L57" s="58">
        <f>E57*0.3</f>
        <v>656.85</v>
      </c>
      <c r="M57" s="80"/>
      <c r="N57" s="81"/>
      <c r="O57" s="80"/>
      <c r="P57" s="58"/>
      <c r="Q57" s="58"/>
      <c r="R57" s="40">
        <f>6000*C57-(E57+F57+J57+L57)</f>
        <v>153.65000000000009</v>
      </c>
      <c r="S57" s="58">
        <f>E57+L57+P57+R57</f>
        <v>3000</v>
      </c>
      <c r="T57" s="82"/>
      <c r="U57" s="83"/>
      <c r="V57" s="58">
        <f>S57*6+U57</f>
        <v>18000</v>
      </c>
      <c r="W57" s="51"/>
      <c r="X57" s="51"/>
    </row>
    <row r="58" spans="1:24" s="29" customFormat="1" ht="14.25">
      <c r="A58" s="84"/>
      <c r="B58" s="85" t="s">
        <v>57</v>
      </c>
      <c r="C58" s="86">
        <f>SUM(C41:C57)</f>
        <v>23.88</v>
      </c>
      <c r="D58" s="86"/>
      <c r="E58" s="87">
        <f t="shared" ref="E58:J58" si="7">SUM(E41:E57)</f>
        <v>80252.36</v>
      </c>
      <c r="F58" s="88">
        <f t="shared" si="7"/>
        <v>774.40000000000009</v>
      </c>
      <c r="G58" s="87">
        <f t="shared" si="7"/>
        <v>0</v>
      </c>
      <c r="H58" s="87">
        <f t="shared" si="7"/>
        <v>0</v>
      </c>
      <c r="I58" s="88">
        <f t="shared" si="7"/>
        <v>0</v>
      </c>
      <c r="J58" s="88">
        <f t="shared" si="7"/>
        <v>1094.75</v>
      </c>
      <c r="K58" s="88"/>
      <c r="L58" s="88">
        <f>SUM(L41:L57)</f>
        <v>1818.4499999999998</v>
      </c>
      <c r="M58" s="88">
        <f>SUM(M41:M57)</f>
        <v>1683.269461077844</v>
      </c>
      <c r="N58" s="88"/>
      <c r="O58" s="88">
        <f t="shared" ref="O58:V58" si="8">SUM(O41:O57)</f>
        <v>4604.7559999999994</v>
      </c>
      <c r="P58" s="88">
        <f t="shared" si="8"/>
        <v>0</v>
      </c>
      <c r="Q58" s="88">
        <f t="shared" si="8"/>
        <v>774.40000000000009</v>
      </c>
      <c r="R58" s="88">
        <f t="shared" si="8"/>
        <v>57599.24</v>
      </c>
      <c r="S58" s="88">
        <f t="shared" si="8"/>
        <v>148601.62546107784</v>
      </c>
      <c r="T58" s="88">
        <f t="shared" si="8"/>
        <v>0</v>
      </c>
      <c r="U58" s="87">
        <f t="shared" si="8"/>
        <v>0</v>
      </c>
      <c r="V58" s="87">
        <f t="shared" si="8"/>
        <v>891609.75276646717</v>
      </c>
      <c r="W58" s="51">
        <f>S58*6</f>
        <v>891609.75276646705</v>
      </c>
      <c r="X58" s="51"/>
    </row>
    <row r="59" spans="1:24" s="1" customFormat="1">
      <c r="A59" s="66"/>
      <c r="B59" s="89" t="s">
        <v>58</v>
      </c>
      <c r="C59" s="90">
        <f>C40+C58</f>
        <v>45.36</v>
      </c>
      <c r="D59" s="90"/>
      <c r="E59" s="91">
        <f t="shared" ref="E59:J59" si="9">E40+E58</f>
        <v>200306.94</v>
      </c>
      <c r="F59" s="92">
        <f t="shared" si="9"/>
        <v>7395.8720000000012</v>
      </c>
      <c r="G59" s="91">
        <f t="shared" si="9"/>
        <v>0</v>
      </c>
      <c r="H59" s="91">
        <f t="shared" si="9"/>
        <v>0</v>
      </c>
      <c r="I59" s="91">
        <f t="shared" si="9"/>
        <v>0</v>
      </c>
      <c r="J59" s="91">
        <f t="shared" si="9"/>
        <v>6603.11</v>
      </c>
      <c r="K59" s="91"/>
      <c r="L59" s="91">
        <f>L40+L58</f>
        <v>27577.560999999998</v>
      </c>
      <c r="M59" s="91">
        <f>M40+M58</f>
        <v>1683.269461077844</v>
      </c>
      <c r="N59" s="91"/>
      <c r="O59" s="91">
        <f t="shared" ref="O59:V59" si="10">O40+O58</f>
        <v>4604.7559999999994</v>
      </c>
      <c r="P59" s="91">
        <f t="shared" si="10"/>
        <v>24622.956000000002</v>
      </c>
      <c r="Q59" s="91">
        <f t="shared" si="10"/>
        <v>5593.3919999999998</v>
      </c>
      <c r="R59" s="91">
        <f t="shared" si="10"/>
        <v>57599.24</v>
      </c>
      <c r="S59" s="91">
        <f t="shared" si="10"/>
        <v>335987.10446107783</v>
      </c>
      <c r="T59" s="91">
        <f t="shared" si="10"/>
        <v>0</v>
      </c>
      <c r="U59" s="91">
        <f t="shared" si="10"/>
        <v>0</v>
      </c>
      <c r="V59" s="91">
        <f t="shared" si="10"/>
        <v>2015922.5707664671</v>
      </c>
      <c r="W59" s="51">
        <f>S59*6</f>
        <v>2015922.626766467</v>
      </c>
      <c r="X59" s="51"/>
    </row>
    <row r="60" spans="1:24" s="1" customFormat="1">
      <c r="A60" s="93"/>
      <c r="B60" s="94"/>
      <c r="C60" s="95"/>
      <c r="D60" s="95"/>
      <c r="E60" s="95"/>
      <c r="F60" s="96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51"/>
      <c r="X60" s="51"/>
    </row>
    <row r="61" spans="1:24" s="1" customFormat="1">
      <c r="A61" s="93"/>
      <c r="B61" s="94"/>
      <c r="C61" s="95"/>
      <c r="D61" s="95"/>
      <c r="E61" s="95"/>
      <c r="F61" s="96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51"/>
      <c r="X61" s="51"/>
    </row>
    <row r="62" spans="1:24" s="1" customFormat="1">
      <c r="A62" s="93"/>
      <c r="B62" s="94"/>
      <c r="C62" s="95"/>
      <c r="D62" s="95"/>
      <c r="E62" s="95"/>
      <c r="F62" s="96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51"/>
      <c r="X62" s="51"/>
    </row>
    <row r="63" spans="1:24" s="29" customFormat="1" ht="14.25">
      <c r="A63" s="97"/>
      <c r="B63" s="17"/>
      <c r="C63" s="97"/>
      <c r="D63" s="98"/>
      <c r="E63" s="98"/>
      <c r="F63" s="99"/>
      <c r="G63" s="100"/>
      <c r="H63" s="97"/>
      <c r="I63" s="97"/>
      <c r="J63" s="97"/>
      <c r="K63" s="17" t="s">
        <v>59</v>
      </c>
      <c r="L63" s="17"/>
      <c r="M63" s="101"/>
      <c r="N63" s="101"/>
      <c r="O63" s="98"/>
      <c r="P63" s="17" t="s">
        <v>60</v>
      </c>
      <c r="Q63" s="17"/>
      <c r="R63" s="102"/>
      <c r="S63" s="103"/>
      <c r="T63" s="103"/>
      <c r="U63" s="103"/>
      <c r="V63" s="103"/>
      <c r="W63" s="51"/>
      <c r="X63" s="51"/>
    </row>
    <row r="64" spans="1:24" s="1" customForma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51"/>
      <c r="X64" s="51"/>
    </row>
    <row r="67" spans="2:19">
      <c r="B67" s="104"/>
      <c r="E67" s="106"/>
      <c r="O67" s="106"/>
    </row>
    <row r="68" spans="2:19">
      <c r="O68" s="106"/>
      <c r="S68" s="107"/>
    </row>
    <row r="69" spans="2:19">
      <c r="E69" s="106"/>
      <c r="R69" s="106"/>
      <c r="S69" s="107"/>
    </row>
    <row r="71" spans="2:19">
      <c r="R71" s="107"/>
    </row>
    <row r="72" spans="2:19">
      <c r="R72" s="106"/>
    </row>
    <row r="73" spans="2:19">
      <c r="R73" s="106"/>
    </row>
  </sheetData>
  <mergeCells count="167">
    <mergeCell ref="V18:V19"/>
    <mergeCell ref="F7:M7"/>
    <mergeCell ref="A9:A17"/>
    <mergeCell ref="B9:B17"/>
    <mergeCell ref="C9:C17"/>
    <mergeCell ref="D9:D17"/>
    <mergeCell ref="E9:E17"/>
    <mergeCell ref="F9:H11"/>
    <mergeCell ref="I9:L11"/>
    <mergeCell ref="M9:O11"/>
    <mergeCell ref="L16:L17"/>
    <mergeCell ref="V9:V17"/>
    <mergeCell ref="F12:F17"/>
    <mergeCell ref="G12:G17"/>
    <mergeCell ref="H12:H17"/>
    <mergeCell ref="I12:I17"/>
    <mergeCell ref="J12:J17"/>
    <mergeCell ref="K12:L15"/>
    <mergeCell ref="M12:M16"/>
    <mergeCell ref="N12:O16"/>
    <mergeCell ref="K16:K17"/>
    <mergeCell ref="P9:P17"/>
    <mergeCell ref="Q9:Q17"/>
    <mergeCell ref="R9:R17"/>
    <mergeCell ref="S18:S19"/>
    <mergeCell ref="T18:T19"/>
    <mergeCell ref="S9:S17"/>
    <mergeCell ref="T9:T17"/>
    <mergeCell ref="U9:U17"/>
    <mergeCell ref="A21:A23"/>
    <mergeCell ref="B21:B23"/>
    <mergeCell ref="C21:C23"/>
    <mergeCell ref="D21:D23"/>
    <mergeCell ref="E21:E23"/>
    <mergeCell ref="F21:F23"/>
    <mergeCell ref="M18:M19"/>
    <mergeCell ref="N18:N19"/>
    <mergeCell ref="O18:O19"/>
    <mergeCell ref="A18:A19"/>
    <mergeCell ref="B18:B19"/>
    <mergeCell ref="C18:C19"/>
    <mergeCell ref="D18:D19"/>
    <mergeCell ref="E18:E19"/>
    <mergeCell ref="F18:F19"/>
    <mergeCell ref="U18:U19"/>
    <mergeCell ref="P18:P19"/>
    <mergeCell ref="Q18:Q19"/>
    <mergeCell ref="R18:R19"/>
    <mergeCell ref="G18:G19"/>
    <mergeCell ref="H18:H19"/>
    <mergeCell ref="I18:I19"/>
    <mergeCell ref="J18:J19"/>
    <mergeCell ref="K18:K19"/>
    <mergeCell ref="L18:L19"/>
    <mergeCell ref="V21:V23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O21:O23"/>
    <mergeCell ref="P21:P23"/>
    <mergeCell ref="R21:R23"/>
    <mergeCell ref="S21:S23"/>
    <mergeCell ref="T21:T23"/>
    <mergeCell ref="U21:U23"/>
    <mergeCell ref="G21:G23"/>
    <mergeCell ref="H21:H23"/>
    <mergeCell ref="I21:I23"/>
    <mergeCell ref="J21:J23"/>
    <mergeCell ref="M21:M23"/>
    <mergeCell ref="N21:N23"/>
    <mergeCell ref="S24:S25"/>
    <mergeCell ref="T24:T25"/>
    <mergeCell ref="U24:U25"/>
    <mergeCell ref="A26:A28"/>
    <mergeCell ref="B26:B28"/>
    <mergeCell ref="C26:C28"/>
    <mergeCell ref="D26:D28"/>
    <mergeCell ref="E26:E28"/>
    <mergeCell ref="F26:F28"/>
    <mergeCell ref="J24:J25"/>
    <mergeCell ref="M24:M25"/>
    <mergeCell ref="N24:N25"/>
    <mergeCell ref="O24:O25"/>
    <mergeCell ref="P24:P25"/>
    <mergeCell ref="R24:R25"/>
    <mergeCell ref="U26:U28"/>
    <mergeCell ref="P26:P28"/>
    <mergeCell ref="Q26:Q28"/>
    <mergeCell ref="R26:R28"/>
    <mergeCell ref="S26:S28"/>
    <mergeCell ref="T26:T28"/>
    <mergeCell ref="A32:A33"/>
    <mergeCell ref="B32:B33"/>
    <mergeCell ref="C32:C33"/>
    <mergeCell ref="D32:D33"/>
    <mergeCell ref="E32:E33"/>
    <mergeCell ref="F32:F33"/>
    <mergeCell ref="G32:G33"/>
    <mergeCell ref="H32:H33"/>
    <mergeCell ref="O26:O28"/>
    <mergeCell ref="G26:G28"/>
    <mergeCell ref="H26:H28"/>
    <mergeCell ref="I26:I28"/>
    <mergeCell ref="J26:J28"/>
    <mergeCell ref="M26:M28"/>
    <mergeCell ref="N26:N28"/>
    <mergeCell ref="S32:S33"/>
    <mergeCell ref="T32:T33"/>
    <mergeCell ref="I32:I33"/>
    <mergeCell ref="J32:J33"/>
    <mergeCell ref="K32:K33"/>
    <mergeCell ref="L32:L33"/>
    <mergeCell ref="M32:M33"/>
    <mergeCell ref="N32:N33"/>
    <mergeCell ref="R34:R35"/>
    <mergeCell ref="S34:S35"/>
    <mergeCell ref="A55:A56"/>
    <mergeCell ref="B55:B56"/>
    <mergeCell ref="C55:C56"/>
    <mergeCell ref="D55:D56"/>
    <mergeCell ref="E55:E56"/>
    <mergeCell ref="I34:I35"/>
    <mergeCell ref="J34:J35"/>
    <mergeCell ref="M34:M35"/>
    <mergeCell ref="N34:N35"/>
    <mergeCell ref="L55:L56"/>
    <mergeCell ref="M55:M56"/>
    <mergeCell ref="F55:F56"/>
    <mergeCell ref="G55:G56"/>
    <mergeCell ref="A34:A35"/>
    <mergeCell ref="B34:B35"/>
    <mergeCell ref="C34:C35"/>
    <mergeCell ref="D34:D35"/>
    <mergeCell ref="E34:E35"/>
    <mergeCell ref="F34:F35"/>
    <mergeCell ref="G34:G35"/>
    <mergeCell ref="H34:H35"/>
    <mergeCell ref="E8:N8"/>
    <mergeCell ref="R2:V2"/>
    <mergeCell ref="R3:V3"/>
    <mergeCell ref="H55:H56"/>
    <mergeCell ref="I55:I56"/>
    <mergeCell ref="J55:J56"/>
    <mergeCell ref="K55:K56"/>
    <mergeCell ref="T34:T35"/>
    <mergeCell ref="U34:U35"/>
    <mergeCell ref="V34:V35"/>
    <mergeCell ref="O34:O35"/>
    <mergeCell ref="P34:P35"/>
    <mergeCell ref="U55:U56"/>
    <mergeCell ref="V55:V56"/>
    <mergeCell ref="P55:P56"/>
    <mergeCell ref="R55:R56"/>
    <mergeCell ref="S55:S56"/>
    <mergeCell ref="T55:T56"/>
    <mergeCell ref="U32:U33"/>
    <mergeCell ref="V32:V33"/>
    <mergeCell ref="O32:O33"/>
    <mergeCell ref="P32:P33"/>
    <mergeCell ref="Q32:Q33"/>
    <mergeCell ref="R32:R33"/>
  </mergeCells>
  <printOptions horizontalCentered="1" verticalCentered="1"/>
  <pageMargins left="0.51181102362204722" right="0.51181102362204722" top="0.55118110236220474" bottom="0.31496062992125984" header="0.31496062992125984" footer="0.31496062992125984"/>
  <pageSetup paperSize="9" scale="60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02.01.21 </vt:lpstr>
      <vt:lpstr>'02.01.21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2020-11-25T11:42:54Z</cp:lastPrinted>
  <dcterms:created xsi:type="dcterms:W3CDTF">2020-10-30T11:52:00Z</dcterms:created>
  <dcterms:modified xsi:type="dcterms:W3CDTF">2020-12-03T14:33:45Z</dcterms:modified>
</cp:coreProperties>
</file>